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documenttasks+xml" PartName="/xl/documenttasks/documenttask1.xml"/>
  <Override ContentType="application/vnd.ms-excel.person+xml" PartName="/xl/persons/person.xml"/>
  <Override ContentType="application/vnd.ms-excel.threadedcomments+xml" PartName="/xl/threadedComments/threadedComment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namá" sheetId="1" r:id="rId5"/>
  </sheets>
  <definedNames>
    <definedName hidden="1" localSheetId="0" name="Z_D2AA5EAE_DE08_4A6A_9FD7_4480D44EE8C4_.wvu.FilterData">'Panamá'!$AD$6:$AL$400</definedName>
    <definedName hidden="1" localSheetId="0" name="Z_36A321FA_227B_4682_BEF1_7BAA5DA2AC4D_.wvu.FilterData">'Panamá'!$A$6:$BT$403</definedName>
  </definedNames>
  <calcPr/>
  <customWorkbookViews>
    <customWorkbookView activeSheetId="0" maximized="1" windowHeight="0" windowWidth="0" guid="{36A321FA-227B-4682-BEF1-7BAA5DA2AC4D}" name="Filter 2"/>
    <customWorkbookView activeSheetId="0" maximized="1" windowHeight="0" windowWidth="0" guid="{D2AA5EAE-DE08-4A6A-9FD7-4480D44EE8C4}" name="Filter 1"/>
  </customWorkbookViews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>tc={1c309abd-34eb-456a-9b96-9543f85ce74c}</author>
    <author>tc={240ecd00-708d-464a-9855-4ed041f5ea76}</author>
    <author>tc={3b5e5c76-fa2e-4d8f-88e9-c408d76429a3}</author>
    <author>tc={8101d737-3a7c-496e-a0a1-ef67c81f7a76}</author>
    <author>tc={961fa70a-39d0-457f-b7f9-21453c6079fb}</author>
    <author>tc={a50f8f5c-1e7b-4c3c-927c-dd8bf552392a}</author>
    <author>tc={ae606913-105a-42de-9e0b-cf4583202a55}</author>
    <author>tc={b5d5ca41-00a7-43c8-8d2f-8d366ac63e9d}</author>
    <author>tc={b8e1d7da-6c59-4f09-829a-930b309e303c}</author>
    <author>tc={bf03c6be-6830-4de6-bfd6-cb81542890cc}</author>
    <author>tc={cad50d0a-65f1-4c04-96a9-ea3f2fc8f059}</author>
    <author>tc={cadf50bb-c7a5-4972-a891-9a5d71b0ea38}</author>
    <author>tc={ea247204-c437-4c54-8d35-b9f0ed0bb28d}</author>
    <author>tc={ed34ecd7-c56a-4b8b-9dd3-4391696e2546}</author>
  </authors>
  <commentList>
    <comment authorId="0" xr:uid="{1c309abd-34eb-456a-9b96-9543f85ce74c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Se alquilo por 4 años y después se vendio a una firma Venezolana
	-Rafael
</t>
      </text>
    </comment>
    <comment authorId="1" xr:uid="{240ecd00-708d-464a-9855-4ed041f5ea76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18.76 Seguro de Contenido
	-Adabella Gomez
</t>
      </text>
    </comment>
    <comment authorId="2" xr:uid="{3b5e5c76-fa2e-4d8f-88e9-c408d76429a3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El mes en el cual recibimos la propiedad en dación, se manda a abogado o llega a 180 días.
	-John
</t>
      </text>
    </comment>
    <comment authorId="3" xr:uid="{8101d737-3a7c-496e-a0a1-ef67c81f7a76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45.56 Seguro de Contenido
	-Adabella Gomez
</t>
      </text>
    </comment>
    <comment authorId="4" xr:uid="{961fa70a-39d0-457f-b7f9-21453c6079fb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01-P-3653 y 05-C-7939
	-Rafael
</t>
      </text>
    </comment>
    <comment authorId="5" xr:uid="{a50f8f5c-1e7b-4c3c-927c-dd8bf552392a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56.28 Seguro de Contenido
	-Adabella Gomez
</t>
      </text>
    </comment>
    <comment authorId="6" xr:uid="{ae606913-105a-42de-9e0b-cf4583202a55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-vsantiago
</t>
      </text>
    </comment>
    <comment authorId="7" xr:uid="{b5d5ca41-00a7-43c8-8d2f-8d366ac63e9d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6,689
	-John
</t>
      </text>
    </comment>
    <comment authorId="8" xr:uid="{b8e1d7da-6c59-4f09-829a-930b309e303c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$9,562
	-John
</t>
      </text>
    </comment>
    <comment authorId="9" xr:uid="{bf03c6be-6830-4de6-bfd6-cb81542890cc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La diferencia entre Mes de Incumplimento y Mes de Recuperación.
	-John
</t>
      </text>
    </comment>
    <comment authorId="10" xr:uid="{cad50d0a-65f1-4c04-96a9-ea3f2fc8f059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Casos Venta Directa se logra conseguir prospcto en Abril 2010
	-vsantiago
</t>
      </text>
    </comment>
    <comment authorId="11" xr:uid="{cadf50bb-c7a5-4972-a891-9a5d71b0ea38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Se alquilo por 4 años y después se vendio a una firma Venezolana
	-Rafael
</t>
      </text>
    </comment>
    <comment authorId="12" xr:uid="{ea247204-c437-4c54-8d35-b9f0ed0bb28d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32.16 Seguro de Contenido
	-Adabella Gomez
</t>
      </text>
    </comment>
    <comment authorId="13" xr:uid="{ed34ecd7-c56a-4b8b-9dd3-4391696e2546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611
	-John
</t>
      </text>
    </comment>
  </commentList>
</comments>
</file>

<file path=xl/sharedStrings.xml><?xml version="1.0" encoding="utf-8"?>
<sst xmlns="http://schemas.openxmlformats.org/spreadsheetml/2006/main" count="1662" uniqueCount="791">
  <si>
    <t>La Hipotecaria, S.A.</t>
  </si>
  <si>
    <r>
      <rPr>
        <rFont val="Montserrat"/>
        <b/>
        <color theme="1"/>
        <sz val="12.0"/>
      </rPr>
      <t>Recovery Analysis - Mortgages Panama /</t>
    </r>
    <r>
      <rPr>
        <rFont val="Montserrat"/>
        <b/>
        <color rgb="FF800000"/>
        <sz val="12.0"/>
      </rPr>
      <t xml:space="preserve"> </t>
    </r>
    <r>
      <rPr>
        <rFont val="Montserrat"/>
        <b/>
        <color rgb="FF0000FF"/>
        <sz val="12.0"/>
      </rPr>
      <t>Análisis de Recuperación - Hipotecas Panamá</t>
    </r>
  </si>
  <si>
    <t>Última Actualización: MARZO 2026</t>
  </si>
  <si>
    <t>Cálculo de Intereses y Seguros</t>
  </si>
  <si>
    <t>Data - Legal Foreclosure</t>
  </si>
  <si>
    <t>Data - Deed in Lieu</t>
  </si>
  <si>
    <t xml:space="preserve"> 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</si>
  <si>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</si>
  <si>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</si>
  <si>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t>Meses de Mora al momento del estatus de recuperación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</si>
  <si>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</si>
  <si>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</si>
  <si>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</si>
  <si>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</si>
  <si>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
</t>
    </r>
    <r>
      <rPr>
        <rFont val="Arial"/>
        <b/>
        <color rgb="FF0C26CC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</si>
  <si>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</si>
  <si>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</si>
  <si>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</si>
  <si>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</si>
  <si>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</si>
  <si>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</si>
  <si>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</si>
  <si>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</si>
  <si>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</si>
  <si>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</si>
  <si>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Gastos de Manejo</t>
  </si>
  <si>
    <t>Gastos de Renovación</t>
  </si>
  <si>
    <t>ITMBS</t>
  </si>
  <si>
    <t>Gastos 
FECI acumulados</t>
  </si>
  <si>
    <r>
      <rPr>
        <rFont val="Arial"/>
        <color theme="1"/>
      </rPr>
      <t xml:space="preserve">Total 
</t>
    </r>
    <r>
      <rPr>
        <rFont val="Arial"/>
        <color rgb="FF0C26CC"/>
      </rPr>
      <t>Seguros acumulados en APPX 
(I)</t>
    </r>
  </si>
  <si>
    <r>
      <rPr>
        <rFont val="Arial"/>
        <color theme="1"/>
      </rPr>
      <t xml:space="preserve">Total de </t>
    </r>
    <r>
      <rPr>
        <rFont val="Arial"/>
        <color rgb="FF0C26CC"/>
      </rPr>
      <t>Intereses del cliente en APPX</t>
    </r>
  </si>
  <si>
    <t>Total
Columna Nota  B</t>
  </si>
  <si>
    <t>Saldo de HIPOTECA IMPAR</t>
  </si>
  <si>
    <t>Tasa de Interés del cliente - HPOTECA</t>
  </si>
  <si>
    <t>Intereses acumulados por 180 días 
(II) IMPAR - HIPOTECA</t>
  </si>
  <si>
    <t>Saldo de HIPOTECA PAR</t>
  </si>
  <si>
    <t>Tasa de Interés del cliente - CONSUMO</t>
  </si>
  <si>
    <t>Intereses acumulados por 180 días 
(II) PAR - CONSUMO</t>
  </si>
  <si>
    <t xml:space="preserve">Saldo </t>
  </si>
  <si>
    <t>Total de Intereses</t>
  </si>
  <si>
    <t>Intereses a ser utilizados en el cálculo (Real vs 180 días)</t>
  </si>
  <si>
    <t>Total para columna B (I + II)</t>
  </si>
  <si>
    <t>¿Fue Legal?</t>
  </si>
  <si>
    <t>¿Está el Caso Resuelto?</t>
  </si>
  <si>
    <t>¿Fue el Caso Legal Resuelto?</t>
  </si>
  <si>
    <t>Gastos de Reparaciones y Gastos Legales de Casos Resueltos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</si>
  <si>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</si>
  <si>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</si>
  <si>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</si>
  <si>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</si>
  <si>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</si>
  <si>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</si>
  <si>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Gastos de Reparaciones y Gastos Legales de Casos Resuletos</t>
  </si>
  <si>
    <t>Data Deed in Lieu / Foreclosure</t>
  </si>
  <si>
    <t># Total</t>
  </si>
  <si>
    <t>1-P-0121</t>
  </si>
  <si>
    <t>Legal Foreclosure</t>
  </si>
  <si>
    <t>Sold</t>
  </si>
  <si>
    <t>01-P-2127</t>
  </si>
  <si>
    <t>1-C-0039</t>
  </si>
  <si>
    <t>01-C-0121</t>
  </si>
  <si>
    <t>1-C-0033</t>
  </si>
  <si>
    <t>01-C-0125</t>
  </si>
  <si>
    <t>1-P-1854</t>
  </si>
  <si>
    <t>Deed in Lieu</t>
  </si>
  <si>
    <t>01-P-3211</t>
  </si>
  <si>
    <t>1-P-1058</t>
  </si>
  <si>
    <t>04-P-0551 / 0552</t>
  </si>
  <si>
    <t>1-C-0125</t>
  </si>
  <si>
    <t>External Fin.</t>
  </si>
  <si>
    <t>1-P-1200</t>
  </si>
  <si>
    <t>01-P-3385</t>
  </si>
  <si>
    <t>1-P-2287</t>
  </si>
  <si>
    <t>01-P-3394</t>
  </si>
  <si>
    <t>1-P-2354</t>
  </si>
  <si>
    <t>01-P-3379</t>
  </si>
  <si>
    <t>1-C-0122</t>
  </si>
  <si>
    <t>4-C-0007</t>
  </si>
  <si>
    <t>1-P-1233</t>
  </si>
  <si>
    <t>01-P-3441</t>
  </si>
  <si>
    <t>1-P-0025</t>
  </si>
  <si>
    <t>01-P-3464</t>
  </si>
  <si>
    <t>1-P-0665</t>
  </si>
  <si>
    <t>01-P-3462</t>
  </si>
  <si>
    <t>4-P-1191</t>
  </si>
  <si>
    <t>01-P-3477</t>
  </si>
  <si>
    <t>1-P-2150</t>
  </si>
  <si>
    <t>01-P-3468</t>
  </si>
  <si>
    <t>1-P-2398</t>
  </si>
  <si>
    <t>01-P-3537</t>
  </si>
  <si>
    <t>1-P-2782</t>
  </si>
  <si>
    <t>01-P-3540</t>
  </si>
  <si>
    <t>2-P-0915</t>
  </si>
  <si>
    <t>06-P-4951</t>
  </si>
  <si>
    <t>1-P-1828</t>
  </si>
  <si>
    <t>01-P-3653</t>
  </si>
  <si>
    <t>4-C-0055</t>
  </si>
  <si>
    <t>01-C-634</t>
  </si>
  <si>
    <t>2-P-2083</t>
  </si>
  <si>
    <t>02-P-5162</t>
  </si>
  <si>
    <t>1-P-2693</t>
  </si>
  <si>
    <t>01-P-3642</t>
  </si>
  <si>
    <t>1-P-3394</t>
  </si>
  <si>
    <t>01-P-3593</t>
  </si>
  <si>
    <t>2-P-2679</t>
  </si>
  <si>
    <t>06-P-4329</t>
  </si>
  <si>
    <t>1-P-1389</t>
  </si>
  <si>
    <t>06-P-5189 / 5190</t>
  </si>
  <si>
    <t>1-P-0536</t>
  </si>
  <si>
    <t>01-C-4213</t>
  </si>
  <si>
    <t>2-P-2251</t>
  </si>
  <si>
    <t>02-P-6400</t>
  </si>
  <si>
    <t>2-P-2623</t>
  </si>
  <si>
    <t>02-P-6565</t>
  </si>
  <si>
    <t>2-P-2299</t>
  </si>
  <si>
    <t>02-P-6031</t>
  </si>
  <si>
    <t>4-P-1195</t>
  </si>
  <si>
    <t>01-P-3605</t>
  </si>
  <si>
    <t>1-P-2383</t>
  </si>
  <si>
    <t>06-P-4171</t>
  </si>
  <si>
    <t>1-P-0705</t>
  </si>
  <si>
    <t>06-P-4605 / 4606</t>
  </si>
  <si>
    <t>1-P-1845</t>
  </si>
  <si>
    <t>01-C-8132</t>
  </si>
  <si>
    <t>2-P-3232</t>
  </si>
  <si>
    <t>02-P-7900</t>
  </si>
  <si>
    <t>1-P-2881</t>
  </si>
  <si>
    <t>06-P-5995 / 5996</t>
  </si>
  <si>
    <t>6-P-0557</t>
  </si>
  <si>
    <t>01-C-4201</t>
  </si>
  <si>
    <t>2-P-0574</t>
  </si>
  <si>
    <t>01-P-3651</t>
  </si>
  <si>
    <t>6-P-1681</t>
  </si>
  <si>
    <t>06-P-5433</t>
  </si>
  <si>
    <t>2-P-2766</t>
  </si>
  <si>
    <t>01-P-3657</t>
  </si>
  <si>
    <t>4-C-0901</t>
  </si>
  <si>
    <t>01-C-4359</t>
  </si>
  <si>
    <t>2-P-3696</t>
  </si>
  <si>
    <t>06-P-5353 / 5354</t>
  </si>
  <si>
    <t>2-P-0099</t>
  </si>
  <si>
    <t>01-P-3658</t>
  </si>
  <si>
    <t>2-P-4579</t>
  </si>
  <si>
    <t>02-P-9061</t>
  </si>
  <si>
    <t>4-C-0433</t>
  </si>
  <si>
    <t>F. Externo</t>
  </si>
  <si>
    <t>2-P-0234</t>
  </si>
  <si>
    <t>06-P-6505</t>
  </si>
  <si>
    <t>2-P-2331</t>
  </si>
  <si>
    <t>06-P-6181/6182</t>
  </si>
  <si>
    <t>6-P-0753</t>
  </si>
  <si>
    <t>06-P-6183/6184</t>
  </si>
  <si>
    <t>6-P-2995</t>
  </si>
  <si>
    <t>06-P-8847</t>
  </si>
  <si>
    <t>4-C-0729</t>
  </si>
  <si>
    <t>04-C-3347</t>
  </si>
  <si>
    <t>2-P-1642</t>
  </si>
  <si>
    <t>06-P-9407/9408</t>
  </si>
  <si>
    <t>1-C-0365</t>
  </si>
  <si>
    <t>01-C-8046</t>
  </si>
  <si>
    <t>2-P-3918</t>
  </si>
  <si>
    <t>02-P-8949</t>
  </si>
  <si>
    <t>2-P-4943</t>
  </si>
  <si>
    <t>06-P-3227</t>
  </si>
  <si>
    <t>6-P-4957</t>
  </si>
  <si>
    <t>06-P-8851</t>
  </si>
  <si>
    <t>2-P-2140</t>
  </si>
  <si>
    <t>06-P-8841</t>
  </si>
  <si>
    <t>6-P-0337</t>
  </si>
  <si>
    <t>06-P-8879</t>
  </si>
  <si>
    <t>2-P-1061</t>
  </si>
  <si>
    <t>06-P-8843/8844</t>
  </si>
  <si>
    <t>2-P-1466</t>
  </si>
  <si>
    <t>06-P-8849</t>
  </si>
  <si>
    <t>1-P-1327</t>
  </si>
  <si>
    <t>06-P-4033</t>
  </si>
  <si>
    <t>6-P-3807</t>
  </si>
  <si>
    <t>06-P-8871</t>
  </si>
  <si>
    <t>6-P-1275</t>
  </si>
  <si>
    <t>06-P-8935</t>
  </si>
  <si>
    <t>2-P-2829</t>
  </si>
  <si>
    <t>N/A</t>
  </si>
  <si>
    <t>1-P-1464</t>
  </si>
  <si>
    <t>6-P-0981</t>
  </si>
  <si>
    <t>01-C-8029</t>
  </si>
  <si>
    <t>4-C-0533</t>
  </si>
  <si>
    <t>04-C-3367</t>
  </si>
  <si>
    <t>2-P-3106</t>
  </si>
  <si>
    <t>06-P-6179</t>
  </si>
  <si>
    <t>1-P-1391</t>
  </si>
  <si>
    <t>2-P-6006</t>
  </si>
  <si>
    <t>06-P-8969/8970</t>
  </si>
  <si>
    <t>1-P-3392</t>
  </si>
  <si>
    <t>06-P-9061/9062</t>
  </si>
  <si>
    <t>2-P-5086</t>
  </si>
  <si>
    <t>06-P-9115-9116</t>
  </si>
  <si>
    <t>2-P-3950</t>
  </si>
  <si>
    <t>4-C-3193</t>
  </si>
  <si>
    <t>01-C-8073</t>
  </si>
  <si>
    <t>2-P-5155</t>
  </si>
  <si>
    <t>4-C-0689</t>
  </si>
  <si>
    <t>01-C-8056</t>
  </si>
  <si>
    <t>2-P-3091</t>
  </si>
  <si>
    <t>06-P-9207/9208</t>
  </si>
  <si>
    <t>2-P-1573</t>
  </si>
  <si>
    <t>06-P-3237</t>
  </si>
  <si>
    <t>1-P-2507</t>
  </si>
  <si>
    <t>6-P-2425</t>
  </si>
  <si>
    <t>01-C-8084</t>
  </si>
  <si>
    <t>2-P-1485</t>
  </si>
  <si>
    <t>06-P-9273/9274</t>
  </si>
  <si>
    <t>2-P-2136</t>
  </si>
  <si>
    <t>06-P-9319/9320</t>
  </si>
  <si>
    <t>6-P-0859</t>
  </si>
  <si>
    <t>01-C-8087</t>
  </si>
  <si>
    <t>2-P-3774</t>
  </si>
  <si>
    <t>06-P-8955/8956</t>
  </si>
  <si>
    <t>6-P-3661</t>
  </si>
  <si>
    <t>01-C-8095</t>
  </si>
  <si>
    <t>6-P-4177</t>
  </si>
  <si>
    <t>06-P-9261/9262</t>
  </si>
  <si>
    <t>2-P-3494</t>
  </si>
  <si>
    <t>06-P-9239/9240</t>
  </si>
  <si>
    <t>6-P-2877</t>
  </si>
  <si>
    <t>06-P-9431/9432</t>
  </si>
  <si>
    <t>6-P-2791</t>
  </si>
  <si>
    <t>01-C-8131</t>
  </si>
  <si>
    <t>2-P-0944</t>
  </si>
  <si>
    <t>6-P-3167</t>
  </si>
  <si>
    <t>1-C-0280</t>
  </si>
  <si>
    <t>4-P-0977</t>
  </si>
  <si>
    <t>06-P-9921/9922</t>
  </si>
  <si>
    <t>4-P-0671</t>
  </si>
  <si>
    <t>01-C-8133</t>
  </si>
  <si>
    <t>2-P-1631</t>
  </si>
  <si>
    <t>6-P-3845</t>
  </si>
  <si>
    <t>6-P-4891</t>
  </si>
  <si>
    <t>6-P0403</t>
  </si>
  <si>
    <t>1-P-0834</t>
  </si>
  <si>
    <t>4-C-2735</t>
  </si>
  <si>
    <t>2-P-6032</t>
  </si>
  <si>
    <t>06-P-101105/101106</t>
  </si>
  <si>
    <t>2-P-0973</t>
  </si>
  <si>
    <t>06-P-10483</t>
  </si>
  <si>
    <t>6-P-5467</t>
  </si>
  <si>
    <t>01-C-8196</t>
  </si>
  <si>
    <t>2-P-2288</t>
  </si>
  <si>
    <t>06-P-10403</t>
  </si>
  <si>
    <t>1-C-1264</t>
  </si>
  <si>
    <t>01-C-8200</t>
  </si>
  <si>
    <t>2-P-10321</t>
  </si>
  <si>
    <t>06-P-10237/10238</t>
  </si>
  <si>
    <t>4-P-0097</t>
  </si>
  <si>
    <t>06-P-9933</t>
  </si>
  <si>
    <t>2-P-7274</t>
  </si>
  <si>
    <t>06-P-10045</t>
  </si>
  <si>
    <t>2-P-1658</t>
  </si>
  <si>
    <t>06-P-10517/10518</t>
  </si>
  <si>
    <t>2-P-6831</t>
  </si>
  <si>
    <t>06-P-9719</t>
  </si>
  <si>
    <t>1-P-3718</t>
  </si>
  <si>
    <t>06-P-9705/9706</t>
  </si>
  <si>
    <t>6-P-4883</t>
  </si>
  <si>
    <t>01-C-8240</t>
  </si>
  <si>
    <t>2-P-0783</t>
  </si>
  <si>
    <t>06-P-10247/10248</t>
  </si>
  <si>
    <t>6-P-1055</t>
  </si>
  <si>
    <t>01-C-8249</t>
  </si>
  <si>
    <t>4-C-1087</t>
  </si>
  <si>
    <t>2-P-2778</t>
  </si>
  <si>
    <t>06-P-1012910130</t>
  </si>
  <si>
    <t>2-P-3238</t>
  </si>
  <si>
    <t>06-P-10473/10474</t>
  </si>
  <si>
    <t>2-P-3892</t>
  </si>
  <si>
    <t>06-P-9871/9872</t>
  </si>
  <si>
    <t>6-P-5005</t>
  </si>
  <si>
    <t>01-C-8271</t>
  </si>
  <si>
    <t>6-P-0217</t>
  </si>
  <si>
    <t>01-C-8295</t>
  </si>
  <si>
    <t>4-P-0879</t>
  </si>
  <si>
    <t>01-C-8334</t>
  </si>
  <si>
    <t>4-P-1405</t>
  </si>
  <si>
    <t>01-C-8289</t>
  </si>
  <si>
    <t>6-P-1199</t>
  </si>
  <si>
    <t>01-C-8260</t>
  </si>
  <si>
    <t>2-P-2761</t>
  </si>
  <si>
    <t>06-P-10899</t>
  </si>
  <si>
    <t>6-P-2695</t>
  </si>
  <si>
    <t>01-C-8322</t>
  </si>
  <si>
    <t>2-P-10406</t>
  </si>
  <si>
    <t>06-P-10737</t>
  </si>
  <si>
    <t>2-P-3547</t>
  </si>
  <si>
    <t>06-P-10669</t>
  </si>
  <si>
    <t>4-P-0841</t>
  </si>
  <si>
    <t>01-C-8398</t>
  </si>
  <si>
    <t>2-P-1897</t>
  </si>
  <si>
    <t>01-C-8444</t>
  </si>
  <si>
    <t>1-P-1087</t>
  </si>
  <si>
    <t>4-P-1431</t>
  </si>
  <si>
    <t>01-C-8435</t>
  </si>
  <si>
    <t>1-P-2922</t>
  </si>
  <si>
    <t>01-C-8574</t>
  </si>
  <si>
    <t>1-C-4290</t>
  </si>
  <si>
    <t>01-C-8441</t>
  </si>
  <si>
    <t>1-P-1875</t>
  </si>
  <si>
    <t>4-C-787/04-C-788</t>
  </si>
  <si>
    <t>2-P-6039</t>
  </si>
  <si>
    <t>01-C-8553</t>
  </si>
  <si>
    <t>4-C-0573/04-C-0574</t>
  </si>
  <si>
    <t>1-P-3653</t>
  </si>
  <si>
    <t>01-C-8704</t>
  </si>
  <si>
    <t>6-P-2269/06-P-2270</t>
  </si>
  <si>
    <t>01-C-8668</t>
  </si>
  <si>
    <t>2-P-5131</t>
  </si>
  <si>
    <t>01-C-8758</t>
  </si>
  <si>
    <t>6-P-1421/06-P-1422</t>
  </si>
  <si>
    <t>01-C-8608</t>
  </si>
  <si>
    <t>6-P-1367/06-P-1368</t>
  </si>
  <si>
    <t>01-C-8638</t>
  </si>
  <si>
    <t>2-P-1708</t>
  </si>
  <si>
    <t>01-C-8844</t>
  </si>
  <si>
    <t>1-P-3593</t>
  </si>
  <si>
    <t>2-P-6877</t>
  </si>
  <si>
    <t>01-C-8686</t>
  </si>
  <si>
    <t>2-P-3368</t>
  </si>
  <si>
    <t>01-C-8650</t>
  </si>
  <si>
    <t>2-P-5753</t>
  </si>
  <si>
    <t>01-C-8705</t>
  </si>
  <si>
    <t>6-P-2835/06-P-2836</t>
  </si>
  <si>
    <t>2-P-0786</t>
  </si>
  <si>
    <t>01-C-8757</t>
  </si>
  <si>
    <t>2-P-2215</t>
  </si>
  <si>
    <t>01-C-8739</t>
  </si>
  <si>
    <t>2-P-12438</t>
  </si>
  <si>
    <t>2-P-12658</t>
  </si>
  <si>
    <t>01-C-8766</t>
  </si>
  <si>
    <t>4-C-2623/04-C-2624</t>
  </si>
  <si>
    <t>4-C-1089/04-C-1090</t>
  </si>
  <si>
    <t>4-C-1123/04-C-1124</t>
  </si>
  <si>
    <t>01-C-8843</t>
  </si>
  <si>
    <t>6-P-4599/06-P-4600</t>
  </si>
  <si>
    <t>01-C-8729</t>
  </si>
  <si>
    <t>6-P-0661/06-P-0662</t>
  </si>
  <si>
    <t>01-C-8856</t>
  </si>
  <si>
    <t>6-P-2983/06-P-2984</t>
  </si>
  <si>
    <t>01-C-8853</t>
  </si>
  <si>
    <t>6-P-11879/06-P-11880</t>
  </si>
  <si>
    <t>6-P-4203/06-P-4204</t>
  </si>
  <si>
    <t>01-C-8878</t>
  </si>
  <si>
    <t>2-P-6674</t>
  </si>
  <si>
    <t>Cash</t>
  </si>
  <si>
    <t>2-P-12657</t>
  </si>
  <si>
    <t>2-P-12552</t>
  </si>
  <si>
    <t>2-P-12048</t>
  </si>
  <si>
    <t>01-C-8967</t>
  </si>
  <si>
    <t>4-C-0629/04-C-0630</t>
  </si>
  <si>
    <t>6-P-1517/06-P-1518</t>
  </si>
  <si>
    <t>2-P-13198</t>
  </si>
  <si>
    <t>2-P-11522</t>
  </si>
  <si>
    <t>2-P-9282</t>
  </si>
  <si>
    <t>01-C-9084</t>
  </si>
  <si>
    <t>2-P-0486</t>
  </si>
  <si>
    <t>01-C-8970</t>
  </si>
  <si>
    <t>1-P-3512</t>
  </si>
  <si>
    <t>01-C-8941</t>
  </si>
  <si>
    <t>6-P-1231/06-P-1232</t>
  </si>
  <si>
    <t>01-C-8992</t>
  </si>
  <si>
    <t>6-P-2195/06-P-2196</t>
  </si>
  <si>
    <t>01-C-8985</t>
  </si>
  <si>
    <t>4-P-0113</t>
  </si>
  <si>
    <t>01-C-8333</t>
  </si>
  <si>
    <t>2-P-1868</t>
  </si>
  <si>
    <t>01-C-9003</t>
  </si>
  <si>
    <t>2-P-7465</t>
  </si>
  <si>
    <t>01-C-8869</t>
  </si>
  <si>
    <t>2-P-2772</t>
  </si>
  <si>
    <t>01-C-9011</t>
  </si>
  <si>
    <t>2-P-10144</t>
  </si>
  <si>
    <t>01-C-8997</t>
  </si>
  <si>
    <t>2-P-5901</t>
  </si>
  <si>
    <t>01-C-9055</t>
  </si>
  <si>
    <t>2-P-10446</t>
  </si>
  <si>
    <t>01-C-9058</t>
  </si>
  <si>
    <t>1-P-2382</t>
  </si>
  <si>
    <t>2-P-7230</t>
  </si>
  <si>
    <t>01-C-9247</t>
  </si>
  <si>
    <t>4-P-153</t>
  </si>
  <si>
    <t>01-C-8606</t>
  </si>
  <si>
    <t>1-C-8778</t>
  </si>
  <si>
    <t>01-C-9233</t>
  </si>
  <si>
    <t>2-P-5941</t>
  </si>
  <si>
    <t>01-C-9114</t>
  </si>
  <si>
    <t>2-P-13454</t>
  </si>
  <si>
    <t>1-C-9253</t>
  </si>
  <si>
    <t>6-P-9521/9522</t>
  </si>
  <si>
    <t>01-C-8870</t>
  </si>
  <si>
    <t>6-P-1577/1578</t>
  </si>
  <si>
    <t>01-C-9353</t>
  </si>
  <si>
    <t>6-P-10129/10130</t>
  </si>
  <si>
    <t>01-C-9254</t>
  </si>
  <si>
    <t>2-P-0124</t>
  </si>
  <si>
    <t>01-C-9213</t>
  </si>
  <si>
    <t>6-P-3237/3238</t>
  </si>
  <si>
    <t>01-C-9226</t>
  </si>
  <si>
    <t>6-P-11117/11118</t>
  </si>
  <si>
    <t>01-C-9236</t>
  </si>
  <si>
    <t>1-C-8588</t>
  </si>
  <si>
    <t xml:space="preserve"> 01-C-9258</t>
  </si>
  <si>
    <t>2-P-13218</t>
  </si>
  <si>
    <t>01-C-9255</t>
  </si>
  <si>
    <t>6-P-4473/4474</t>
  </si>
  <si>
    <t>01-C-9239</t>
  </si>
  <si>
    <t>2-P-6634</t>
  </si>
  <si>
    <t>01-C-9282</t>
  </si>
  <si>
    <t>2-P-7111</t>
  </si>
  <si>
    <t>01-C-9121</t>
  </si>
  <si>
    <t>2-P-11624</t>
  </si>
  <si>
    <t>01-C-9325</t>
  </si>
  <si>
    <t>6-P-9305/9306</t>
  </si>
  <si>
    <t>01-C-9364</t>
  </si>
  <si>
    <t>6-P-4951/4952</t>
  </si>
  <si>
    <t>01-C-9271</t>
  </si>
  <si>
    <t>2-P-13910</t>
  </si>
  <si>
    <t>06-P-15001/15002</t>
  </si>
  <si>
    <t>2-P-15899</t>
  </si>
  <si>
    <t>06-P-15035/15036</t>
  </si>
  <si>
    <t>2-P-11041</t>
  </si>
  <si>
    <t>06-P-16037/16038</t>
  </si>
  <si>
    <t>2-P-12350</t>
  </si>
  <si>
    <t>06-P-16029/16030</t>
  </si>
  <si>
    <t>2-P-16300</t>
  </si>
  <si>
    <t>06-P-15007/15008</t>
  </si>
  <si>
    <t>2-P-16600</t>
  </si>
  <si>
    <t>06-P-15025/15026</t>
  </si>
  <si>
    <t>1-C-8880</t>
  </si>
  <si>
    <t>01-C-9336</t>
  </si>
  <si>
    <t>2-P-18533</t>
  </si>
  <si>
    <t>06-P-14961/14962</t>
  </si>
  <si>
    <t>2-P-13133</t>
  </si>
  <si>
    <t>06-P-16035/16036</t>
  </si>
  <si>
    <t>1-C-8582</t>
  </si>
  <si>
    <t>01-C-9275</t>
  </si>
  <si>
    <t>2-P-15844</t>
  </si>
  <si>
    <t>06-P-16383/16384</t>
  </si>
  <si>
    <t>2-P-18354</t>
  </si>
  <si>
    <t>06-P-14983/14984</t>
  </si>
  <si>
    <t>1-C-8493</t>
  </si>
  <si>
    <t>01-C-9284</t>
  </si>
  <si>
    <t>1-C-8737</t>
  </si>
  <si>
    <t>01-C-9280</t>
  </si>
  <si>
    <t>6-P-10669/06-P-10670</t>
  </si>
  <si>
    <t>01-C-9297</t>
  </si>
  <si>
    <t>2-P-17941</t>
  </si>
  <si>
    <t>06-P-16083/16084</t>
  </si>
  <si>
    <t>2-P-11244</t>
  </si>
  <si>
    <t>06-P-16249/16250</t>
  </si>
  <si>
    <t>2-P-12287</t>
  </si>
  <si>
    <t>06-P-14985/14986</t>
  </si>
  <si>
    <t>2-P-19249</t>
  </si>
  <si>
    <t>06-P-15039/15040</t>
  </si>
  <si>
    <t>6-P-5903/06-P-5904</t>
  </si>
  <si>
    <t>01-C-9326</t>
  </si>
  <si>
    <t>2-P-13104</t>
  </si>
  <si>
    <t>06-P-15077/15078</t>
  </si>
  <si>
    <t>2-P-16328</t>
  </si>
  <si>
    <t>06-P-19295/19296</t>
  </si>
  <si>
    <t>2-P-10486</t>
  </si>
  <si>
    <t>06-P-16333/16334</t>
  </si>
  <si>
    <t>1-C-8695</t>
  </si>
  <si>
    <t>01-C-9303</t>
  </si>
  <si>
    <t>2-P-16977</t>
  </si>
  <si>
    <t>06-P-16031/06-P-16032</t>
  </si>
  <si>
    <t>2-P-19024</t>
  </si>
  <si>
    <t>06-P-16127/06-P-16128</t>
  </si>
  <si>
    <t>6-P-12089/ 06-P-12090</t>
  </si>
  <si>
    <t>01-C-9293</t>
  </si>
  <si>
    <t>2-P-20358</t>
  </si>
  <si>
    <t>06-P-16237/06-P-16238</t>
  </si>
  <si>
    <t>6-P-10201/06-P-10202</t>
  </si>
  <si>
    <t>01-C-9312</t>
  </si>
  <si>
    <t>2-P-19574</t>
  </si>
  <si>
    <t>01-P-3875</t>
  </si>
  <si>
    <t>2-P-4650</t>
  </si>
  <si>
    <t>01-C-9555</t>
  </si>
  <si>
    <t>2-P-14386</t>
  </si>
  <si>
    <t>06-P-16081/16082</t>
  </si>
  <si>
    <t>2-P-14546</t>
  </si>
  <si>
    <t>06-P-16485/16486</t>
  </si>
  <si>
    <t>2-P-18444</t>
  </si>
  <si>
    <t>06-P-19293/19294</t>
  </si>
  <si>
    <t>2-P-13979</t>
  </si>
  <si>
    <t>06-P-16219/16220</t>
  </si>
  <si>
    <t>2-P-12891</t>
  </si>
  <si>
    <t>06-P-16189/16190</t>
  </si>
  <si>
    <t>1-C-8532</t>
  </si>
  <si>
    <t>01-C-9309</t>
  </si>
  <si>
    <t>2-P-13958</t>
  </si>
  <si>
    <t>06-P-16147/16148</t>
  </si>
  <si>
    <t>6-P-11907/06-P-11908</t>
  </si>
  <si>
    <t>01-C-9319</t>
  </si>
  <si>
    <t>6-P-10541/06-P-10542</t>
  </si>
  <si>
    <t>01-C-9424</t>
  </si>
  <si>
    <t>6-P-12203/06-P-12204</t>
  </si>
  <si>
    <t>01-C-9327</t>
  </si>
  <si>
    <t>2-P-14784</t>
  </si>
  <si>
    <t xml:space="preserve"> 06-P-15061/15062</t>
  </si>
  <si>
    <t>6-P-13093/06-P-13094</t>
  </si>
  <si>
    <t>01-C-9344</t>
  </si>
  <si>
    <t>2-P-17656</t>
  </si>
  <si>
    <t>06-P-16289/16290</t>
  </si>
  <si>
    <t>2-P-16393</t>
  </si>
  <si>
    <t>06-P-16983/16984</t>
  </si>
  <si>
    <t>6-P-12625/06-P-12626</t>
  </si>
  <si>
    <t>01-C-9386</t>
  </si>
  <si>
    <t>2-P-14472</t>
  </si>
  <si>
    <t>06-P-16859/16860</t>
  </si>
  <si>
    <t>2-P-1304</t>
  </si>
  <si>
    <t>01-C-9368</t>
  </si>
  <si>
    <t>2-P-13570</t>
  </si>
  <si>
    <t>06-P-16199/16200</t>
  </si>
  <si>
    <t>2-P-13575</t>
  </si>
  <si>
    <t>01-P-3878</t>
  </si>
  <si>
    <t>2-P-17704</t>
  </si>
  <si>
    <t>06-P-16593/16594</t>
  </si>
  <si>
    <t>2-P-17574</t>
  </si>
  <si>
    <t>06-P-16329/16330</t>
  </si>
  <si>
    <t>6-P-5053/06-P-5054</t>
  </si>
  <si>
    <t>01-C-9385</t>
  </si>
  <si>
    <t>4-C-7769/04-C-7770</t>
  </si>
  <si>
    <t>01-C-9365</t>
  </si>
  <si>
    <t>6-P-11203/06-P-11204</t>
  </si>
  <si>
    <t>01-C-9549</t>
  </si>
  <si>
    <t>2-P-17132</t>
  </si>
  <si>
    <t>06-P-16403/06-P-16404</t>
  </si>
  <si>
    <t>6-P-12697/12698</t>
  </si>
  <si>
    <t>01-C-9414</t>
  </si>
  <si>
    <t>4-C-5747/04-C-5748</t>
  </si>
  <si>
    <t>01-C-9540</t>
  </si>
  <si>
    <t>2-P-2867</t>
  </si>
  <si>
    <t>1-C-9594</t>
  </si>
  <si>
    <t>2-P-18282</t>
  </si>
  <si>
    <t>01-C-9431</t>
  </si>
  <si>
    <t>4-C-3949/04-C-3950</t>
  </si>
  <si>
    <t>REO</t>
  </si>
  <si>
    <t>2-P-2717</t>
  </si>
  <si>
    <t>01-C-9587</t>
  </si>
  <si>
    <t>2-P-3190</t>
  </si>
  <si>
    <t>01-C-9345</t>
  </si>
  <si>
    <t>6-P-13285 / 06-P-13286</t>
  </si>
  <si>
    <t>06-P-16671/06-P-16672</t>
  </si>
  <si>
    <t>2-P-21619</t>
  </si>
  <si>
    <t>06-P-16855 / 06-P-16856</t>
  </si>
  <si>
    <t>2-P-5256</t>
  </si>
  <si>
    <t>01-C-9454</t>
  </si>
  <si>
    <t>6-P-933 / 06-P-934</t>
  </si>
  <si>
    <t>01-C-9390</t>
  </si>
  <si>
    <t>6-P-13753 / 06-P-13754</t>
  </si>
  <si>
    <t>06-P-16857 / 06-P-16858</t>
  </si>
  <si>
    <t>6-P-2583/06-P-2584</t>
  </si>
  <si>
    <t>01-C-9458</t>
  </si>
  <si>
    <t>2-P-9265</t>
  </si>
  <si>
    <t>01-C-9615</t>
  </si>
  <si>
    <t>6-P-11997 / 06-P-11998</t>
  </si>
  <si>
    <t>01-C-9531</t>
  </si>
  <si>
    <t>2-P-5954</t>
  </si>
  <si>
    <t>01-C-9460</t>
  </si>
  <si>
    <t>2-P-24639</t>
  </si>
  <si>
    <t>06-P-16547 / 06-P-16548</t>
  </si>
  <si>
    <t>4-C-5281 / 5282</t>
  </si>
  <si>
    <t>01-C-9477</t>
  </si>
  <si>
    <t>2-P-12359</t>
  </si>
  <si>
    <t>06-P-16453 / 06-P-16544</t>
  </si>
  <si>
    <t>1-C-8624</t>
  </si>
  <si>
    <t>01-C-9517</t>
  </si>
  <si>
    <t>4-C-8673 / 04-C-8674</t>
  </si>
  <si>
    <t>01-C-9443</t>
  </si>
  <si>
    <t>2-P-21877</t>
  </si>
  <si>
    <t>06-P-16585 / 06-P-16586</t>
  </si>
  <si>
    <t>2-P-24725</t>
  </si>
  <si>
    <t>06-P-17053 / 06-P-17054</t>
  </si>
  <si>
    <t>2-P-22960</t>
  </si>
  <si>
    <t>06-P-16545 /  06-P-16546</t>
  </si>
  <si>
    <t>2-P-10261</t>
  </si>
  <si>
    <t>06-P-16739/06-P-16740</t>
  </si>
  <si>
    <t>2-P-16344</t>
  </si>
  <si>
    <t>06-P-16459 /06-P-16460</t>
  </si>
  <si>
    <t>1-C-8915</t>
  </si>
  <si>
    <t>01-C-9564</t>
  </si>
  <si>
    <t>2-P-20002</t>
  </si>
  <si>
    <t>06-P-16591 / 06-P-16592</t>
  </si>
  <si>
    <t>6-P-14277 / 06-P-14278</t>
  </si>
  <si>
    <t>06-P-16801 / 06-P-16802</t>
  </si>
  <si>
    <t>2-P-18628</t>
  </si>
  <si>
    <t>06-P-16757/16758</t>
  </si>
  <si>
    <t>2-P-16762</t>
  </si>
  <si>
    <t>06-P-16669/06-P-16670</t>
  </si>
  <si>
    <t>2-P-19917</t>
  </si>
  <si>
    <t>06-P-16659/06-P-16660</t>
  </si>
  <si>
    <t>6-P-11603 / 06-P-11604</t>
  </si>
  <si>
    <t>2-P-14789</t>
  </si>
  <si>
    <t>2-P-17802</t>
  </si>
  <si>
    <t>06-P-17013/06-P-17014</t>
  </si>
  <si>
    <t>2-P-12704</t>
  </si>
  <si>
    <t>06-P-16717 / 06-P-16718</t>
  </si>
  <si>
    <t>2-P-19418</t>
  </si>
  <si>
    <t>06-P-17001/17002</t>
  </si>
  <si>
    <t>2-P-22175</t>
  </si>
  <si>
    <t>06-P-16707 / 06-P-16708</t>
  </si>
  <si>
    <t>2-P-20745</t>
  </si>
  <si>
    <t>06-P-16929/16930</t>
  </si>
  <si>
    <t>1-C-8859</t>
  </si>
  <si>
    <t>2-P-11307</t>
  </si>
  <si>
    <t>06-P-16599 / 06-P-16600</t>
  </si>
  <si>
    <t>2-P-25650</t>
  </si>
  <si>
    <t>4-C-5565 / 4-C-5566</t>
  </si>
  <si>
    <t>01-C-9579</t>
  </si>
  <si>
    <t>6-P-10195 /  6-P-10196</t>
  </si>
  <si>
    <t>2-P-21460</t>
  </si>
  <si>
    <t>06-P-16931 / 06-P-16932</t>
  </si>
  <si>
    <t>2-P-26583</t>
  </si>
  <si>
    <t>06-P-16703 / 06-P-16704</t>
  </si>
  <si>
    <t>6-P-11291 / 6-P-11292</t>
  </si>
  <si>
    <t>01-C-9503</t>
  </si>
  <si>
    <t>2-P-12947</t>
  </si>
  <si>
    <t>01-C-9481</t>
  </si>
  <si>
    <t>2-P-14718</t>
  </si>
  <si>
    <t>06-P-16787 / 06-P-16788</t>
  </si>
  <si>
    <t>2-P-28015</t>
  </si>
  <si>
    <t>06-P-16977 / 06-P-16978</t>
  </si>
  <si>
    <t>2-P-13512</t>
  </si>
  <si>
    <t>06-P-16711 / 06-P-16712</t>
  </si>
  <si>
    <t>6-P-13607 / 6-P-13608</t>
  </si>
  <si>
    <t>06-P-16895 / 06-P-16896</t>
  </si>
  <si>
    <t>1-C-8914</t>
  </si>
  <si>
    <t>2-P-18531</t>
  </si>
  <si>
    <t>06-P-16933 / 06-P-16934</t>
  </si>
  <si>
    <t>4-C-8711 / 04-C-8712</t>
  </si>
  <si>
    <t>01-C-9539</t>
  </si>
  <si>
    <t>6-P-12201 / 6-P-12202</t>
  </si>
  <si>
    <t>01-C-9548</t>
  </si>
  <si>
    <t>2-P-11153</t>
  </si>
  <si>
    <t>06-P-16721/06-P-16722</t>
  </si>
  <si>
    <t>2-P-9798</t>
  </si>
  <si>
    <t>06-P-16971</t>
  </si>
  <si>
    <t>1-C-9288</t>
  </si>
  <si>
    <t>6-P-12209 / 6-P-12210</t>
  </si>
  <si>
    <t>01-C-9554</t>
  </si>
  <si>
    <t>4-C-8855 / 4-C-8856</t>
  </si>
  <si>
    <t>01-C-9609</t>
  </si>
  <si>
    <t>2-P-17367</t>
  </si>
  <si>
    <t>06-P-16909 / 06-P-16910</t>
  </si>
  <si>
    <t>6-P-14743 / 6-P-14744</t>
  </si>
  <si>
    <t>06-P-17081 / 06-P-17082</t>
  </si>
  <si>
    <t>2-P-20805</t>
  </si>
  <si>
    <t>06-P-17095 / 17096</t>
  </si>
  <si>
    <t>4-C-8659 / 04-C-8660</t>
  </si>
  <si>
    <t>01-C-9508</t>
  </si>
  <si>
    <t>2-P-19876</t>
  </si>
  <si>
    <t>06-P-16967 / 06-P-16968</t>
  </si>
  <si>
    <t>2-P-14516</t>
  </si>
  <si>
    <t>06-P-16755 / 06-P-16756</t>
  </si>
  <si>
    <t>2-P-27374</t>
  </si>
  <si>
    <t>06-P-16795 / 06-P-16796</t>
  </si>
  <si>
    <t>6-P-14085/ 06-P-14086</t>
  </si>
  <si>
    <t>06-P-16745 / 06-P-16746</t>
  </si>
  <si>
    <t>4-C-4527 / 4-C-4528</t>
  </si>
  <si>
    <t>1-C-9638</t>
  </si>
  <si>
    <t>2-P-23434</t>
  </si>
  <si>
    <t>06-P-17017 / 06-P-17018</t>
  </si>
  <si>
    <t>2-P-20913</t>
  </si>
  <si>
    <t>06-P-17087 / 17088</t>
  </si>
  <si>
    <t>6-P-16127 / 06-P-16128</t>
  </si>
  <si>
    <t>6-P-17099 / 06-P-17100</t>
  </si>
  <si>
    <t>2-P-23194</t>
  </si>
  <si>
    <t>06-P-17059 / 06-P-17060</t>
  </si>
  <si>
    <t>2-P-22999</t>
  </si>
  <si>
    <t>06-P-16853 / 06-P-16854</t>
  </si>
  <si>
    <t>1-C-9247</t>
  </si>
  <si>
    <t>01-C-9624</t>
  </si>
  <si>
    <t>2-P-23887</t>
  </si>
  <si>
    <t>06-P-16845 / 06-P-16846</t>
  </si>
  <si>
    <t>2-P-24406</t>
  </si>
  <si>
    <t>06-P-16819 / 06-P-16820</t>
  </si>
  <si>
    <t>2-P-24221</t>
  </si>
  <si>
    <t>06-P-16849 / 06-P-16850</t>
  </si>
  <si>
    <t>2-P-28917</t>
  </si>
  <si>
    <t>06-P-16911 / 06-P-16912</t>
  </si>
  <si>
    <t>1-C-8879</t>
  </si>
  <si>
    <t>01-C-9553</t>
  </si>
  <si>
    <t>2-P-23198</t>
  </si>
  <si>
    <t>06-P-17121 / 06-P-17122</t>
  </si>
  <si>
    <t>6-P-9703 / 9704</t>
  </si>
  <si>
    <t>01-C-9631</t>
  </si>
  <si>
    <t>2-P-14963</t>
  </si>
  <si>
    <t>06-P-1693516939</t>
  </si>
  <si>
    <t>2-P-20116</t>
  </si>
  <si>
    <t>06-P-16775 / 06-P-16776</t>
  </si>
  <si>
    <t>6-P-013519/013520</t>
  </si>
  <si>
    <t>06-P-17039 / 06-P-17040</t>
  </si>
  <si>
    <t>2-P-20393</t>
  </si>
  <si>
    <t>06-P-17057 / 06-P-17058</t>
  </si>
  <si>
    <t>2-P-1090</t>
  </si>
  <si>
    <t>01-C-9694</t>
  </si>
  <si>
    <t>2-P-5374</t>
  </si>
  <si>
    <t>01-C-9611</t>
  </si>
  <si>
    <t>2-P-20616</t>
  </si>
  <si>
    <t>06-P-17079</t>
  </si>
  <si>
    <t>2-P-23252</t>
  </si>
  <si>
    <t>6-P-17137 / 6-P-17138</t>
  </si>
  <si>
    <t>2-P-14158</t>
  </si>
  <si>
    <t>06-P-16941/16942</t>
  </si>
  <si>
    <t>6-P-12285</t>
  </si>
  <si>
    <t>06-P-17093 / 17094</t>
  </si>
  <si>
    <t>2-P-23073</t>
  </si>
  <si>
    <t>06-P-16865/06-P-16866</t>
  </si>
  <si>
    <t>2-P-24713</t>
  </si>
  <si>
    <t>6-P-17205 / 6-P-17206</t>
  </si>
  <si>
    <t>2-P-8858</t>
  </si>
  <si>
    <t>01-C-9589</t>
  </si>
  <si>
    <t>2-P-10649</t>
  </si>
  <si>
    <t>06-P-17025 / 06-P-17026</t>
  </si>
  <si>
    <t>4-C-5229 / 4-C-5230</t>
  </si>
  <si>
    <t>1-C-9637</t>
  </si>
  <si>
    <t>2-P-21837</t>
  </si>
  <si>
    <t>06-P-17115 / 06-P-17116</t>
  </si>
  <si>
    <t>2-P-18420</t>
  </si>
  <si>
    <t>06-P-17419</t>
  </si>
  <si>
    <t>2-P-20413</t>
  </si>
  <si>
    <t>6-P-17157 / 6-P-17158</t>
  </si>
  <si>
    <t>2-P-23312</t>
  </si>
  <si>
    <t>06-P-16903 / 06-P-16904</t>
  </si>
  <si>
    <t>4-C-6871</t>
  </si>
  <si>
    <t>2-P-16048</t>
  </si>
  <si>
    <t>06-P-16863 / 06-P-16864</t>
  </si>
  <si>
    <t>2-P-24032</t>
  </si>
  <si>
    <t>06-P-17097 / 17098</t>
  </si>
  <si>
    <t>2-P-27178</t>
  </si>
  <si>
    <t>2-P-24058</t>
  </si>
  <si>
    <t>06-P-17185</t>
  </si>
  <si>
    <t>2-P-14061</t>
  </si>
  <si>
    <t>06-P-17133 / 06-P-17134</t>
  </si>
  <si>
    <t>1-C-9079</t>
  </si>
  <si>
    <t>1-C-9622</t>
  </si>
  <si>
    <t>6-P-12727/12728</t>
  </si>
  <si>
    <t>6-P-17251 / 6-P-17252</t>
  </si>
  <si>
    <t>2-P-25453</t>
  </si>
  <si>
    <t>01-P-3898</t>
  </si>
  <si>
    <t>2-P-10046</t>
  </si>
  <si>
    <t>06-P-17125 / 06-P-17126</t>
  </si>
  <si>
    <t>1-C-8858</t>
  </si>
  <si>
    <t>4-C-8445</t>
  </si>
  <si>
    <t>01-C-9636</t>
  </si>
  <si>
    <t>6-P-9775</t>
  </si>
  <si>
    <t>2-P-23089</t>
  </si>
  <si>
    <t>06-P-17201 / 06-P-17202</t>
  </si>
  <si>
    <t>2-P-2107</t>
  </si>
  <si>
    <t>8-P-111052</t>
  </si>
  <si>
    <t>2-P-22752</t>
  </si>
  <si>
    <t>06-P-17329/06-P-17330</t>
  </si>
  <si>
    <t>2-P-19410</t>
  </si>
  <si>
    <t>2-P-18340</t>
  </si>
  <si>
    <t>2-P-17154</t>
  </si>
  <si>
    <t>06-P-17427</t>
  </si>
  <si>
    <t>1-C-8966</t>
  </si>
  <si>
    <t>2-P-15943</t>
  </si>
  <si>
    <t>2-P-20203</t>
  </si>
  <si>
    <t>1-C-9003</t>
  </si>
  <si>
    <t>2-P-22724</t>
  </si>
  <si>
    <t>04-C-8433/8434</t>
  </si>
  <si>
    <t>$ 40.388,78</t>
  </si>
  <si>
    <t>5-ene-26</t>
  </si>
  <si>
    <t>2-P-15653</t>
  </si>
  <si>
    <t>$ 29.677,53</t>
  </si>
  <si>
    <t>4-abr-25</t>
  </si>
  <si>
    <t xml:space="preserve">   Weighted Average</t>
  </si>
  <si>
    <t>$</t>
  </si>
  <si>
    <t>#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</si>
  <si>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</si>
  <si>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</si>
  <si>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</si>
  <si>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</si>
  <si>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</si>
  <si>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</si>
  <si>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</si>
  <si>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</si>
  <si>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</si>
  <si>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</si>
  <si>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</si>
  <si>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</si>
  <si>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b/>
        <color theme="1"/>
      </rPr>
      <t xml:space="preserve">Legal Foreclosure = </t>
    </r>
    <r>
      <rPr>
        <rFont val="Arial"/>
        <b/>
        <color rgb="FF0000FF"/>
      </rPr>
      <t>Remate Legal</t>
    </r>
    <r>
      <rPr>
        <rFont val="Arial"/>
        <b/>
        <color theme="1"/>
      </rPr>
      <t xml:space="preserve">,  Deed in Lieu = </t>
    </r>
    <r>
      <rPr>
        <rFont val="Arial"/>
        <b/>
        <color rgb="FF0000FF"/>
      </rPr>
      <t>Dación en Pago</t>
    </r>
    <r>
      <rPr>
        <rFont val="Arial"/>
        <b/>
        <color theme="1"/>
      </rPr>
      <t>, REO =</t>
    </r>
    <r>
      <rPr>
        <rFont val="Arial"/>
        <b/>
        <color rgb="FF0000FF"/>
      </rPr>
      <t xml:space="preserve"> Inventario de Vivienda Reposeida</t>
    </r>
  </si>
  <si>
    <r>
      <rPr>
        <rFont val="Arial"/>
        <b/>
        <color theme="1"/>
      </rPr>
      <t xml:space="preserve">*Only includes Legal Forclosures that have been closed and does not includes Legal Forclosures in Process.  </t>
    </r>
    <r>
      <rPr>
        <rFont val="Arial"/>
        <b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</si>
</sst>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0">
    <numFmt numFmtId="164" formatCode="&quot;$&quot;#,##0.00"/>
    <numFmt numFmtId="165" formatCode="_-* #,##0.00_-;\-* #,##0.00_-;_-* &quot;-&quot;??_-;_-@"/>
    <numFmt numFmtId="166" formatCode="_(* #,##0.00_);_(* \(#,##0.00\);_(* &quot;-&quot;??_);_(@_)"/>
    <numFmt numFmtId="167" formatCode="_(* #,##0_);_(* \(#,##0\);_(* &quot;-&quot;??_);_(@_)"/>
    <numFmt numFmtId="168" formatCode="_ * #,##0.00_ ;_ * \-#,##0.00_ ;_ * &quot;-&quot;??_ ;_ @_ "/>
    <numFmt numFmtId="169" formatCode="_ * #,##0_ ;_ * \-#,##0_ ;_ * &quot;-&quot;??_ ;_ @_ "/>
    <numFmt numFmtId="170" formatCode="mm/yyyy"/>
    <numFmt numFmtId="171" formatCode="[$-180A]dddd\,\ dd&quot; de &quot;mmmm&quot; de &quot;yyyy"/>
    <numFmt numFmtId="172" formatCode="dd/mm/yy"/>
    <numFmt numFmtId="173" formatCode="_(* #,##0.0000_);_(* \(#,##0.0000\);_(* &quot;-&quot;??_);_(@_)"/>
  </numFmts>
  <fonts count="17">
    <font>
      <sz val="10.0"/>
      <color rgb="FF000000"/>
      <name val="Arial"/>
      <scheme val="minor"/>
    </font>
    <font>
      <sz val="10.0"/>
      <color theme="1"/>
      <name val="Arial"/>
    </font>
    <font>
      <b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theme="1"/>
      <name val="Arial"/>
    </font>
    <font/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theme="0"/>
        <bgColor theme="0"/>
      </patternFill>
    </fill>
  </fills>
  <borders count="39">
    <border/>
    <border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000000"/>
      </right>
      <bottom style="thin">
        <color rgb="FFC0C0C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4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left" readingOrder="0" vertical="center"/>
    </xf>
    <xf borderId="0" fillId="0" fontId="4" numFmtId="0" xfId="0" applyAlignment="1" applyFont="1">
      <alignment vertical="center"/>
    </xf>
    <xf borderId="0" fillId="0" fontId="1" numFmtId="0" xfId="0" applyFont="1"/>
    <xf borderId="0" fillId="0" fontId="4" numFmtId="10" xfId="0" applyAlignment="1" applyFont="1" applyNumberFormat="1">
      <alignment vertical="center"/>
    </xf>
    <xf borderId="0" fillId="0" fontId="4" numFmtId="2" xfId="0" applyAlignment="1" applyFont="1" applyNumberFormat="1">
      <alignment vertical="center"/>
    </xf>
    <xf borderId="0" fillId="0" fontId="5" numFmtId="0" xfId="0" applyAlignment="1" applyFont="1">
      <alignment horizontal="right" vertical="center"/>
    </xf>
    <xf borderId="0" fillId="0" fontId="4" numFmtId="4" xfId="0" applyAlignment="1" applyFont="1" applyNumberFormat="1">
      <alignment vertical="center"/>
    </xf>
    <xf borderId="0" fillId="0" fontId="5" numFmtId="164" xfId="0" applyAlignment="1" applyFont="1" applyNumberFormat="1">
      <alignment vertical="center"/>
    </xf>
    <xf borderId="0" fillId="0" fontId="2" numFmtId="164" xfId="0" applyAlignment="1" applyFont="1" applyNumberFormat="1">
      <alignment vertical="center"/>
    </xf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right" vertical="center"/>
    </xf>
    <xf borderId="0" fillId="0" fontId="3" numFmtId="0" xfId="0" applyAlignment="1" applyFont="1">
      <alignment horizontal="left" vertical="center"/>
    </xf>
    <xf borderId="0" fillId="0" fontId="7" numFmtId="0" xfId="0" applyAlignment="1" applyFont="1">
      <alignment horizontal="left" vertical="center"/>
    </xf>
    <xf borderId="0" fillId="0" fontId="1" numFmtId="0" xfId="0" applyAlignment="1" applyFont="1">
      <alignment vertical="center"/>
    </xf>
    <xf borderId="0" fillId="0" fontId="1" numFmtId="165" xfId="0" applyAlignment="1" applyFont="1" applyNumberFormat="1">
      <alignment vertical="center"/>
    </xf>
    <xf borderId="0" fillId="0" fontId="8" numFmtId="0" xfId="0" applyAlignment="1" applyFont="1">
      <alignment vertical="center"/>
    </xf>
    <xf borderId="0" fillId="0" fontId="1" numFmtId="0" xfId="0" applyAlignment="1" applyFont="1">
      <alignment readingOrder="0" vertical="center"/>
    </xf>
    <xf borderId="0" fillId="0" fontId="1" numFmtId="0" xfId="0" applyAlignment="1" applyFont="1">
      <alignment horizontal="center"/>
    </xf>
    <xf borderId="1" fillId="0" fontId="8" numFmtId="0" xfId="0" applyBorder="1" applyFont="1"/>
    <xf borderId="1" fillId="0" fontId="1" numFmtId="0" xfId="0" applyBorder="1" applyFont="1"/>
    <xf borderId="0" fillId="0" fontId="4" numFmtId="0" xfId="0" applyAlignment="1" applyFont="1">
      <alignment readingOrder="0"/>
    </xf>
    <xf borderId="0" fillId="0" fontId="4" numFmtId="10" xfId="0" applyFont="1" applyNumberFormat="1"/>
    <xf borderId="0" fillId="0" fontId="4" numFmtId="2" xfId="0" applyFont="1" applyNumberFormat="1"/>
    <xf borderId="0" fillId="0" fontId="5" numFmtId="0" xfId="0" applyAlignment="1" applyFont="1">
      <alignment horizontal="right"/>
    </xf>
    <xf borderId="0" fillId="0" fontId="4" numFmtId="4" xfId="0" applyFont="1" applyNumberFormat="1"/>
    <xf borderId="0" fillId="0" fontId="5" numFmtId="164" xfId="0" applyFont="1" applyNumberFormat="1"/>
    <xf borderId="0" fillId="0" fontId="2" numFmtId="164" xfId="0" applyFont="1" applyNumberFormat="1"/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vertical="center"/>
    </xf>
    <xf borderId="3" fillId="2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5" fillId="2" fontId="1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6" fillId="3" fontId="8" numFmtId="0" xfId="0" applyAlignment="1" applyBorder="1" applyFill="1" applyFont="1">
      <alignment horizontal="center" readingOrder="0" vertical="center"/>
    </xf>
    <xf borderId="7" fillId="0" fontId="9" numFmtId="0" xfId="0" applyBorder="1" applyFont="1"/>
    <xf borderId="8" fillId="0" fontId="9" numFmtId="0" xfId="0" applyBorder="1" applyFont="1"/>
    <xf borderId="9" fillId="2" fontId="10" numFmtId="0" xfId="0" applyAlignment="1" applyBorder="1" applyFont="1">
      <alignment horizontal="center" shrinkToFit="0" vertical="center" wrapText="1"/>
    </xf>
    <xf borderId="10" fillId="0" fontId="9" numFmtId="0" xfId="0" applyBorder="1" applyFont="1"/>
    <xf borderId="11" fillId="0" fontId="9" numFmtId="0" xfId="0" applyBorder="1" applyFont="1"/>
    <xf borderId="6" fillId="2" fontId="10" numFmtId="0" xfId="0" applyAlignment="1" applyBorder="1" applyFont="1">
      <alignment horizontal="center" shrinkToFit="0" vertical="center" wrapText="1"/>
    </xf>
    <xf borderId="2" fillId="2" fontId="10" numFmtId="0" xfId="0" applyAlignment="1" applyBorder="1" applyFont="1">
      <alignment horizontal="center" shrinkToFit="0" vertical="center" wrapText="1"/>
    </xf>
    <xf borderId="12" fillId="2" fontId="10" numFmtId="0" xfId="0" applyAlignment="1" applyBorder="1" applyFont="1">
      <alignment horizontal="center" shrinkToFit="0" vertical="center" wrapText="1"/>
    </xf>
    <xf borderId="5" fillId="2" fontId="10" numFmtId="0" xfId="0" applyAlignment="1" applyBorder="1" applyFont="1">
      <alignment horizontal="center" shrinkToFit="0" vertical="center" wrapText="1"/>
    </xf>
    <xf borderId="4" fillId="2" fontId="10" numFmtId="0" xfId="0" applyAlignment="1" applyBorder="1" applyFont="1">
      <alignment horizontal="center" shrinkToFit="0" vertical="center" wrapText="1"/>
    </xf>
    <xf borderId="13" fillId="2" fontId="1" numFmtId="0" xfId="0" applyAlignment="1" applyBorder="1" applyFont="1">
      <alignment horizontal="center" readingOrder="0"/>
    </xf>
    <xf borderId="14" fillId="2" fontId="10" numFmtId="0" xfId="0" applyAlignment="1" applyBorder="1" applyFont="1">
      <alignment horizontal="center" readingOrder="0" shrinkToFit="0" vertical="center" wrapText="1"/>
    </xf>
    <xf borderId="14" fillId="2" fontId="11" numFmtId="0" xfId="0" applyAlignment="1" applyBorder="1" applyFont="1">
      <alignment horizontal="center" shrinkToFit="0" vertical="center" wrapText="1"/>
    </xf>
    <xf borderId="14" fillId="2" fontId="10" numFmtId="0" xfId="0" applyAlignment="1" applyBorder="1" applyFont="1">
      <alignment horizontal="center" shrinkToFit="0" vertical="center" wrapText="1"/>
    </xf>
    <xf borderId="15" fillId="2" fontId="1" numFmtId="0" xfId="0" applyBorder="1" applyFont="1"/>
    <xf borderId="0" fillId="0" fontId="2" numFmtId="0" xfId="0" applyAlignment="1" applyFont="1">
      <alignment horizontal="center" shrinkToFit="0" wrapText="1"/>
    </xf>
    <xf borderId="16" fillId="3" fontId="5" numFmtId="0" xfId="0" applyAlignment="1" applyBorder="1" applyFont="1">
      <alignment horizontal="center" shrinkToFit="0" vertical="center" wrapText="1"/>
    </xf>
    <xf borderId="16" fillId="3" fontId="2" numFmtId="0" xfId="0" applyAlignment="1" applyBorder="1" applyFont="1">
      <alignment horizontal="center" shrinkToFit="0" vertical="center" wrapText="1"/>
    </xf>
    <xf borderId="16" fillId="3" fontId="5" numFmtId="10" xfId="0" applyAlignment="1" applyBorder="1" applyFont="1" applyNumberFormat="1">
      <alignment horizontal="center" shrinkToFit="0" vertical="center" wrapText="1"/>
    </xf>
    <xf borderId="16" fillId="3" fontId="5" numFmtId="2" xfId="0" applyAlignment="1" applyBorder="1" applyFont="1" applyNumberFormat="1">
      <alignment horizontal="center" shrinkToFit="0" vertical="center" wrapText="1"/>
    </xf>
    <xf borderId="16" fillId="3" fontId="5" numFmtId="4" xfId="0" applyAlignment="1" applyBorder="1" applyFont="1" applyNumberFormat="1">
      <alignment horizontal="center" shrinkToFit="0" vertical="center" wrapText="1"/>
    </xf>
    <xf borderId="17" fillId="3" fontId="12" numFmtId="0" xfId="0" applyAlignment="1" applyBorder="1" applyFont="1">
      <alignment horizontal="center" shrinkToFit="0" vertical="center" wrapText="1"/>
    </xf>
    <xf borderId="16" fillId="3" fontId="2" numFmtId="164" xfId="0" applyAlignment="1" applyBorder="1" applyFont="1" applyNumberFormat="1">
      <alignment horizontal="center" shrinkToFit="0" vertical="center" wrapText="1"/>
    </xf>
    <xf borderId="17" fillId="2" fontId="1" numFmtId="0" xfId="0" applyAlignment="1" applyBorder="1" applyFont="1">
      <alignment horizontal="center" shrinkToFit="0" vertical="center" wrapText="1"/>
    </xf>
    <xf borderId="17" fillId="2" fontId="1" numFmtId="0" xfId="0" applyAlignment="1" applyBorder="1" applyFont="1">
      <alignment horizontal="center" readingOrder="0" shrinkToFit="0" vertical="center" wrapText="1"/>
    </xf>
    <xf borderId="18" fillId="2" fontId="10" numFmtId="0" xfId="0" applyAlignment="1" applyBorder="1" applyFont="1">
      <alignment horizontal="center" shrinkToFit="0" vertical="center" wrapText="1"/>
    </xf>
    <xf borderId="19" fillId="0" fontId="9" numFmtId="0" xfId="0" applyBorder="1" applyFont="1"/>
    <xf borderId="20" fillId="0" fontId="9" numFmtId="0" xfId="0" applyBorder="1" applyFont="1"/>
    <xf borderId="13" fillId="2" fontId="1" numFmtId="0" xfId="0" applyAlignment="1" applyBorder="1" applyFont="1">
      <alignment horizontal="center"/>
    </xf>
    <xf borderId="21" fillId="2" fontId="1" numFmtId="0" xfId="0" applyAlignment="1" applyBorder="1" applyFont="1">
      <alignment horizontal="left" readingOrder="0" shrinkToFit="0" wrapText="1"/>
    </xf>
    <xf borderId="21" fillId="2" fontId="1" numFmtId="166" xfId="0" applyAlignment="1" applyBorder="1" applyFont="1" applyNumberFormat="1">
      <alignment horizontal="right" shrinkToFit="0" wrapText="1"/>
    </xf>
    <xf borderId="21" fillId="2" fontId="1" numFmtId="0" xfId="0" applyAlignment="1" applyBorder="1" applyFont="1">
      <alignment horizontal="center" shrinkToFit="0" wrapText="1"/>
    </xf>
    <xf borderId="21" fillId="2" fontId="1" numFmtId="17" xfId="0" applyAlignment="1" applyBorder="1" applyFont="1" applyNumberFormat="1">
      <alignment horizontal="center" shrinkToFit="0" wrapText="1"/>
    </xf>
    <xf borderId="21" fillId="2" fontId="1" numFmtId="1" xfId="0" applyAlignment="1" applyBorder="1" applyFont="1" applyNumberFormat="1">
      <alignment horizontal="center" readingOrder="0" shrinkToFit="0" wrapText="1"/>
    </xf>
    <xf borderId="21" fillId="2" fontId="1" numFmtId="1" xfId="0" applyAlignment="1" applyBorder="1" applyFont="1" applyNumberFormat="1">
      <alignment horizontal="center" shrinkToFit="0" wrapText="1"/>
    </xf>
    <xf borderId="21" fillId="2" fontId="1" numFmtId="167" xfId="0" applyAlignment="1" applyBorder="1" applyFont="1" applyNumberFormat="1">
      <alignment horizontal="right" shrinkToFit="0" wrapText="1"/>
    </xf>
    <xf borderId="21" fillId="2" fontId="1" numFmtId="167" xfId="0" applyBorder="1" applyFont="1" applyNumberFormat="1"/>
    <xf borderId="21" fillId="2" fontId="1" numFmtId="10" xfId="0" applyAlignment="1" applyBorder="1" applyFont="1" applyNumberFormat="1">
      <alignment horizontal="right"/>
    </xf>
    <xf borderId="15" fillId="2" fontId="1" numFmtId="10" xfId="0" applyBorder="1" applyFont="1" applyNumberFormat="1"/>
    <xf borderId="22" fillId="3" fontId="1" numFmtId="0" xfId="0" applyBorder="1" applyFont="1"/>
    <xf borderId="23" fillId="3" fontId="1" numFmtId="0" xfId="0" applyBorder="1" applyFont="1"/>
    <xf borderId="23" fillId="3" fontId="5" numFmtId="0" xfId="0" applyBorder="1" applyFont="1"/>
    <xf borderId="23" fillId="3" fontId="1" numFmtId="10" xfId="0" applyBorder="1" applyFont="1" applyNumberFormat="1"/>
    <xf borderId="23" fillId="3" fontId="1" numFmtId="2" xfId="0" applyBorder="1" applyFont="1" applyNumberFormat="1"/>
    <xf borderId="23" fillId="3" fontId="1" numFmtId="0" xfId="0" applyAlignment="1" applyBorder="1" applyFont="1">
      <alignment horizontal="right"/>
    </xf>
    <xf borderId="23" fillId="3" fontId="1" numFmtId="4" xfId="0" applyBorder="1" applyFont="1" applyNumberFormat="1"/>
    <xf borderId="23" fillId="3" fontId="1" numFmtId="164" xfId="0" applyBorder="1" applyFont="1" applyNumberFormat="1"/>
    <xf borderId="24" fillId="3" fontId="8" numFmtId="164" xfId="0" applyBorder="1" applyFont="1" applyNumberFormat="1"/>
    <xf borderId="25" fillId="0" fontId="1" numFmtId="0" xfId="0" applyAlignment="1" applyBorder="1" applyFont="1">
      <alignment horizontal="center"/>
    </xf>
    <xf borderId="0" fillId="0" fontId="1" numFmtId="167" xfId="0" applyAlignment="1" applyFont="1" applyNumberFormat="1">
      <alignment horizontal="center"/>
    </xf>
    <xf borderId="0" fillId="0" fontId="1" numFmtId="168" xfId="0" applyFont="1" applyNumberFormat="1"/>
    <xf borderId="0" fillId="0" fontId="1" numFmtId="169" xfId="0" applyFont="1" applyNumberFormat="1"/>
    <xf borderId="0" fillId="0" fontId="1" numFmtId="10" xfId="0" applyFont="1" applyNumberFormat="1"/>
    <xf borderId="26" fillId="0" fontId="1" numFmtId="10" xfId="0" applyBorder="1" applyFont="1" applyNumberFormat="1"/>
    <xf borderId="0" fillId="0" fontId="1" numFmtId="1" xfId="0" applyAlignment="1" applyFont="1" applyNumberFormat="1">
      <alignment horizontal="center"/>
    </xf>
    <xf borderId="0" fillId="0" fontId="1" numFmtId="169" xfId="0" applyAlignment="1" applyFont="1" applyNumberFormat="1">
      <alignment horizontal="center"/>
    </xf>
    <xf borderId="9" fillId="0" fontId="1" numFmtId="168" xfId="0" applyBorder="1" applyFont="1" applyNumberFormat="1"/>
    <xf borderId="10" fillId="0" fontId="1" numFmtId="168" xfId="0" applyBorder="1" applyFont="1" applyNumberFormat="1"/>
    <xf borderId="10" fillId="0" fontId="1" numFmtId="10" xfId="0" applyBorder="1" applyFont="1" applyNumberFormat="1"/>
    <xf borderId="11" fillId="0" fontId="1" numFmtId="10" xfId="0" applyBorder="1" applyFont="1" applyNumberFormat="1"/>
    <xf borderId="27" fillId="0" fontId="1" numFmtId="0" xfId="0" applyAlignment="1" applyBorder="1" applyFont="1">
      <alignment horizontal="center"/>
    </xf>
    <xf borderId="21" fillId="2" fontId="1" numFmtId="167" xfId="0" applyAlignment="1" applyBorder="1" applyFont="1" applyNumberFormat="1">
      <alignment horizontal="right" readingOrder="0" shrinkToFit="0" wrapText="1"/>
    </xf>
    <xf borderId="21" fillId="2" fontId="1" numFmtId="0" xfId="0" applyAlignment="1" applyBorder="1" applyFont="1">
      <alignment horizontal="center" readingOrder="0" shrinkToFit="0" wrapText="1"/>
    </xf>
    <xf borderId="21" fillId="2" fontId="1" numFmtId="17" xfId="0" applyAlignment="1" applyBorder="1" applyFont="1" applyNumberFormat="1">
      <alignment horizontal="center" readingOrder="0" shrinkToFit="0" wrapText="1"/>
    </xf>
    <xf borderId="21" fillId="2" fontId="1" numFmtId="167" xfId="0" applyAlignment="1" applyBorder="1" applyFont="1" applyNumberFormat="1">
      <alignment readingOrder="0"/>
    </xf>
    <xf borderId="22" fillId="3" fontId="1" numFmtId="0" xfId="0" applyAlignment="1" applyBorder="1" applyFont="1">
      <alignment readingOrder="0"/>
    </xf>
    <xf borderId="23" fillId="3" fontId="1" numFmtId="0" xfId="0" applyAlignment="1" applyBorder="1" applyFont="1">
      <alignment readingOrder="0"/>
    </xf>
    <xf borderId="23" fillId="3" fontId="1" numFmtId="10" xfId="0" applyAlignment="1" applyBorder="1" applyFont="1" applyNumberFormat="1">
      <alignment readingOrder="0"/>
    </xf>
    <xf borderId="23" fillId="3" fontId="1" numFmtId="0" xfId="0" applyAlignment="1" applyBorder="1" applyFont="1">
      <alignment horizontal="right" readingOrder="0"/>
    </xf>
    <xf borderId="21" fillId="2" fontId="1" numFmtId="166" xfId="0" applyAlignment="1" applyBorder="1" applyFont="1" applyNumberFormat="1">
      <alignment horizontal="right" readingOrder="0" shrinkToFit="0" wrapText="1"/>
    </xf>
    <xf borderId="21" fillId="2" fontId="1" numFmtId="0" xfId="0" applyBorder="1" applyFont="1"/>
    <xf borderId="23" fillId="3" fontId="1" numFmtId="4" xfId="0" applyAlignment="1" applyBorder="1" applyFont="1" applyNumberFormat="1">
      <alignment readingOrder="0"/>
    </xf>
    <xf borderId="23" fillId="3" fontId="8" numFmtId="0" xfId="0" applyBorder="1" applyFont="1"/>
    <xf borderId="21" fillId="2" fontId="1" numFmtId="0" xfId="0" applyBorder="1" applyFont="1"/>
    <xf borderId="0" fillId="0" fontId="4" numFmtId="0" xfId="0" applyFont="1"/>
    <xf borderId="23" fillId="3" fontId="1" numFmtId="9" xfId="0" applyAlignment="1" applyBorder="1" applyFont="1" applyNumberFormat="1">
      <alignment readingOrder="0"/>
    </xf>
    <xf borderId="21" fillId="2" fontId="1" numFmtId="0" xfId="0" applyAlignment="1" applyBorder="1" applyFont="1">
      <alignment readingOrder="0"/>
    </xf>
    <xf borderId="21" fillId="2" fontId="1" numFmtId="3" xfId="0" applyAlignment="1" applyBorder="1" applyFont="1" applyNumberFormat="1">
      <alignment readingOrder="0"/>
    </xf>
    <xf borderId="21" fillId="2" fontId="1" numFmtId="0" xfId="0" applyAlignment="1" applyBorder="1" applyFont="1">
      <alignment horizontal="left" shrinkToFit="0" wrapText="1"/>
    </xf>
    <xf borderId="21" fillId="2" fontId="1" numFmtId="170" xfId="0" applyAlignment="1" applyBorder="1" applyFont="1" applyNumberFormat="1">
      <alignment horizontal="center" readingOrder="0" shrinkToFit="0" wrapText="1"/>
    </xf>
    <xf borderId="25" fillId="0" fontId="5" numFmtId="0" xfId="0" applyAlignment="1" applyBorder="1" applyFont="1">
      <alignment horizontal="center" vertical="bottom"/>
    </xf>
    <xf borderId="0" fillId="0" fontId="5" numFmtId="0" xfId="0" applyAlignment="1" applyFont="1">
      <alignment horizontal="center" vertical="bottom"/>
    </xf>
    <xf borderId="0" fillId="0" fontId="5" numFmtId="167" xfId="0" applyAlignment="1" applyFont="1" applyNumberFormat="1">
      <alignment horizontal="center" vertical="bottom"/>
    </xf>
    <xf borderId="0" fillId="0" fontId="5" numFmtId="168" xfId="0" applyAlignment="1" applyFont="1" applyNumberFormat="1">
      <alignment horizontal="right" vertical="bottom"/>
    </xf>
    <xf borderId="0" fillId="0" fontId="5" numFmtId="169" xfId="0" applyAlignment="1" applyFont="1" applyNumberFormat="1">
      <alignment horizontal="right" vertical="bottom"/>
    </xf>
    <xf borderId="0" fillId="0" fontId="5" numFmtId="10" xfId="0" applyAlignment="1" applyFont="1" applyNumberFormat="1">
      <alignment horizontal="right" vertical="bottom"/>
    </xf>
    <xf borderId="26" fillId="0" fontId="5" numFmtId="10" xfId="0" applyAlignment="1" applyBorder="1" applyFont="1" applyNumberFormat="1">
      <alignment horizontal="right" vertical="bottom"/>
    </xf>
    <xf borderId="0" fillId="0" fontId="5" numFmtId="1" xfId="0" applyAlignment="1" applyFont="1" applyNumberFormat="1">
      <alignment horizontal="center" vertical="bottom"/>
    </xf>
    <xf borderId="0" fillId="0" fontId="5" numFmtId="169" xfId="0" applyAlignment="1" applyFont="1" applyNumberFormat="1">
      <alignment horizontal="center" vertical="bottom"/>
    </xf>
    <xf borderId="28" fillId="2" fontId="10" numFmtId="0" xfId="0" applyAlignment="1" applyBorder="1" applyFont="1">
      <alignment shrinkToFit="0" wrapText="1"/>
    </xf>
    <xf borderId="28" fillId="2" fontId="12" numFmtId="0" xfId="0" applyAlignment="1" applyBorder="1" applyFont="1">
      <alignment shrinkToFit="0" wrapText="1"/>
    </xf>
    <xf borderId="28" fillId="2" fontId="12" numFmtId="166" xfId="0" applyAlignment="1" applyBorder="1" applyFont="1" applyNumberFormat="1">
      <alignment shrinkToFit="0" wrapText="1"/>
    </xf>
    <xf borderId="28" fillId="2" fontId="12" numFmtId="0" xfId="0" applyAlignment="1" applyBorder="1" applyFont="1">
      <alignment horizontal="right" shrinkToFit="0" wrapText="1"/>
    </xf>
    <xf borderId="28" fillId="2" fontId="12" numFmtId="17" xfId="0" applyAlignment="1" applyBorder="1" applyFont="1" applyNumberFormat="1">
      <alignment horizontal="center" shrinkToFit="0" wrapText="1"/>
    </xf>
    <xf borderId="28" fillId="2" fontId="12" numFmtId="1" xfId="0" applyAlignment="1" applyBorder="1" applyFont="1" applyNumberFormat="1">
      <alignment horizontal="center" shrinkToFit="0" wrapText="1"/>
    </xf>
    <xf borderId="28" fillId="2" fontId="12" numFmtId="171" xfId="0" applyAlignment="1" applyBorder="1" applyFont="1" applyNumberFormat="1">
      <alignment horizontal="center" shrinkToFit="0" wrapText="1"/>
    </xf>
    <xf borderId="28" fillId="2" fontId="12" numFmtId="167" xfId="0" applyAlignment="1" applyBorder="1" applyFont="1" applyNumberFormat="1">
      <alignment horizontal="right" shrinkToFit="0" wrapText="1"/>
    </xf>
    <xf borderId="28" fillId="2" fontId="13" numFmtId="167" xfId="0" applyAlignment="1" applyBorder="1" applyFont="1" applyNumberFormat="1">
      <alignment horizontal="right" shrinkToFit="0" wrapText="1"/>
    </xf>
    <xf borderId="28" fillId="2" fontId="1" numFmtId="167" xfId="0" applyBorder="1" applyFont="1" applyNumberFormat="1"/>
    <xf borderId="28" fillId="2" fontId="1" numFmtId="10" xfId="0" applyAlignment="1" applyBorder="1" applyFont="1" applyNumberFormat="1">
      <alignment horizontal="right"/>
    </xf>
    <xf borderId="28" fillId="2" fontId="1" numFmtId="10" xfId="0" applyBorder="1" applyFont="1" applyNumberFormat="1"/>
    <xf borderId="25" fillId="4" fontId="1" numFmtId="0" xfId="0" applyBorder="1" applyFill="1" applyFont="1"/>
    <xf borderId="0" fillId="4" fontId="1" numFmtId="0" xfId="0" applyFont="1"/>
    <xf borderId="0" fillId="4" fontId="5" numFmtId="0" xfId="0" applyFont="1"/>
    <xf borderId="0" fillId="4" fontId="1" numFmtId="10" xfId="0" applyFont="1" applyNumberFormat="1"/>
    <xf borderId="0" fillId="4" fontId="1" numFmtId="2" xfId="0" applyFont="1" applyNumberFormat="1"/>
    <xf borderId="0" fillId="4" fontId="1" numFmtId="0" xfId="0" applyAlignment="1" applyFont="1">
      <alignment horizontal="right"/>
    </xf>
    <xf borderId="0" fillId="4" fontId="1" numFmtId="4" xfId="0" applyFont="1" applyNumberFormat="1"/>
    <xf borderId="26" fillId="4" fontId="8" numFmtId="4" xfId="0" applyBorder="1" applyFont="1" applyNumberFormat="1"/>
    <xf borderId="28" fillId="2" fontId="12" numFmtId="172" xfId="0" applyAlignment="1" applyBorder="1" applyFont="1" applyNumberFormat="1">
      <alignment horizontal="center" shrinkToFit="0" wrapText="1"/>
    </xf>
    <xf borderId="28" fillId="2" fontId="14" numFmtId="167" xfId="0" applyBorder="1" applyFont="1" applyNumberFormat="1"/>
    <xf borderId="29" fillId="2" fontId="8" numFmtId="10" xfId="0" applyAlignment="1" applyBorder="1" applyFont="1" applyNumberFormat="1">
      <alignment horizontal="center"/>
    </xf>
    <xf borderId="30" fillId="0" fontId="9" numFmtId="0" xfId="0" applyBorder="1" applyFont="1"/>
    <xf borderId="28" fillId="2" fontId="8" numFmtId="0" xfId="0" applyBorder="1" applyFont="1"/>
    <xf borderId="28" fillId="2" fontId="1" numFmtId="0" xfId="0" applyBorder="1" applyFont="1"/>
    <xf borderId="28" fillId="2" fontId="8" numFmtId="0" xfId="0" applyAlignment="1" applyBorder="1" applyFont="1">
      <alignment horizontal="center"/>
    </xf>
    <xf borderId="31" fillId="2" fontId="8" numFmtId="0" xfId="0" applyAlignment="1" applyBorder="1" applyFont="1">
      <alignment horizontal="center"/>
    </xf>
    <xf borderId="28" fillId="2" fontId="8" numFmtId="0" xfId="0" applyAlignment="1" applyBorder="1" applyFont="1">
      <alignment horizontal="right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7" fillId="0" fontId="1" numFmtId="167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25" fillId="0" fontId="1" numFmtId="0" xfId="0" applyBorder="1" applyFont="1"/>
    <xf borderId="7" fillId="0" fontId="1" numFmtId="4" xfId="0" applyAlignment="1" applyBorder="1" applyFont="1" applyNumberFormat="1">
      <alignment horizontal="center"/>
    </xf>
    <xf borderId="7" fillId="0" fontId="1" numFmtId="168" xfId="0" applyAlignment="1" applyBorder="1" applyFont="1" applyNumberFormat="1">
      <alignment horizontal="right"/>
    </xf>
    <xf borderId="6" fillId="0" fontId="1" numFmtId="168" xfId="0" applyBorder="1" applyFont="1" applyNumberFormat="1"/>
    <xf borderId="7" fillId="0" fontId="1" numFmtId="168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17" fillId="0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32" fillId="2" fontId="10" numFmtId="0" xfId="0" applyAlignment="1" applyBorder="1" applyFont="1">
      <alignment shrinkToFit="0" wrapText="1"/>
    </xf>
    <xf borderId="33" fillId="2" fontId="10" numFmtId="0" xfId="0" applyAlignment="1" applyBorder="1" applyFont="1">
      <alignment shrinkToFit="0" wrapText="1"/>
    </xf>
    <xf borderId="33" fillId="2" fontId="1" numFmtId="166" xfId="0" applyAlignment="1" applyBorder="1" applyFont="1" applyNumberFormat="1">
      <alignment horizontal="center"/>
    </xf>
    <xf borderId="33" fillId="2" fontId="1" numFmtId="0" xfId="0" applyAlignment="1" applyBorder="1" applyFont="1">
      <alignment horizontal="center"/>
    </xf>
    <xf borderId="33" fillId="2" fontId="1" numFmtId="10" xfId="0" applyAlignment="1" applyBorder="1" applyFont="1" applyNumberFormat="1">
      <alignment horizontal="center"/>
    </xf>
    <xf borderId="33" fillId="2" fontId="1" numFmtId="1" xfId="0" applyAlignment="1" applyBorder="1" applyFont="1" applyNumberFormat="1">
      <alignment horizontal="center"/>
    </xf>
    <xf borderId="33" fillId="2" fontId="1" numFmtId="2" xfId="0" applyAlignment="1" applyBorder="1" applyFont="1" applyNumberFormat="1">
      <alignment horizontal="center"/>
    </xf>
    <xf borderId="33" fillId="2" fontId="1" numFmtId="10" xfId="0" applyAlignment="1" applyBorder="1" applyFont="1" applyNumberFormat="1">
      <alignment horizontal="right"/>
    </xf>
    <xf borderId="34" fillId="2" fontId="1" numFmtId="10" xfId="0" applyBorder="1" applyFont="1" applyNumberFormat="1"/>
    <xf borderId="9" fillId="0" fontId="1" numFmtId="0" xfId="0" applyAlignment="1" applyBorder="1" applyFont="1">
      <alignment horizontal="center"/>
    </xf>
    <xf borderId="10" fillId="0" fontId="1" numFmtId="0" xfId="0" applyAlignment="1" applyBorder="1" applyFont="1">
      <alignment horizontal="center"/>
    </xf>
    <xf borderId="11" fillId="0" fontId="1" numFmtId="168" xfId="0" applyBorder="1" applyFont="1" applyNumberFormat="1"/>
    <xf borderId="0" fillId="0" fontId="1" numFmtId="168" xfId="0" applyAlignment="1" applyFont="1" applyNumberFormat="1">
      <alignment horizontal="center"/>
    </xf>
    <xf borderId="26" fillId="0" fontId="1" numFmtId="168" xfId="0" applyBorder="1" applyFont="1" applyNumberFormat="1"/>
    <xf borderId="26" fillId="0" fontId="1" numFmtId="0" xfId="0" applyBorder="1" applyFont="1"/>
    <xf borderId="28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2" fillId="2" fontId="8" numFmtId="0" xfId="0" applyBorder="1" applyFont="1"/>
    <xf borderId="12" fillId="2" fontId="8" numFmtId="0" xfId="0" applyBorder="1" applyFont="1"/>
    <xf borderId="12" fillId="2" fontId="1" numFmtId="166" xfId="0" applyBorder="1" applyFont="1" applyNumberFormat="1"/>
    <xf borderId="12" fillId="2" fontId="1" numFmtId="0" xfId="0" applyAlignment="1" applyBorder="1" applyFont="1">
      <alignment horizontal="center"/>
    </xf>
    <xf borderId="12" fillId="2" fontId="1" numFmtId="10" xfId="0" applyAlignment="1" applyBorder="1" applyFont="1" applyNumberFormat="1">
      <alignment horizontal="center"/>
    </xf>
    <xf borderId="12" fillId="2" fontId="1" numFmtId="1" xfId="0" applyAlignment="1" applyBorder="1" applyFont="1" applyNumberFormat="1">
      <alignment horizontal="center"/>
    </xf>
    <xf borderId="12" fillId="2" fontId="1" numFmtId="2" xfId="0" applyAlignment="1" applyBorder="1" applyFont="1" applyNumberFormat="1">
      <alignment horizontal="center"/>
    </xf>
    <xf borderId="12" fillId="2" fontId="1" numFmtId="10" xfId="0" applyBorder="1" applyFont="1" applyNumberFormat="1"/>
    <xf borderId="5" fillId="2" fontId="1" numFmtId="10" xfId="0" applyBorder="1" applyFont="1" applyNumberFormat="1"/>
    <xf borderId="35" fillId="2" fontId="8" numFmtId="0" xfId="0" applyBorder="1" applyFont="1"/>
    <xf borderId="31" fillId="2" fontId="8" numFmtId="0" xfId="0" applyBorder="1" applyFont="1"/>
    <xf borderId="31" fillId="2" fontId="1" numFmtId="166" xfId="0" applyBorder="1" applyFont="1" applyNumberFormat="1"/>
    <xf borderId="31" fillId="2" fontId="1" numFmtId="0" xfId="0" applyAlignment="1" applyBorder="1" applyFont="1">
      <alignment horizontal="center"/>
    </xf>
    <xf borderId="31" fillId="2" fontId="1" numFmtId="10" xfId="0" applyAlignment="1" applyBorder="1" applyFont="1" applyNumberFormat="1">
      <alignment horizontal="center"/>
    </xf>
    <xf borderId="31" fillId="2" fontId="1" numFmtId="1" xfId="0" applyAlignment="1" applyBorder="1" applyFont="1" applyNumberFormat="1">
      <alignment horizontal="center"/>
    </xf>
    <xf borderId="31" fillId="2" fontId="1" numFmtId="2" xfId="0" applyAlignment="1" applyBorder="1" applyFont="1" applyNumberFormat="1">
      <alignment horizontal="center"/>
    </xf>
    <xf borderId="31" fillId="2" fontId="1" numFmtId="10" xfId="0" applyBorder="1" applyFont="1" applyNumberFormat="1"/>
    <xf borderId="36" fillId="2" fontId="1" numFmtId="10" xfId="0" applyBorder="1" applyFont="1" applyNumberFormat="1"/>
    <xf borderId="25" fillId="3" fontId="1" numFmtId="0" xfId="0" applyBorder="1" applyFont="1"/>
    <xf borderId="0" fillId="3" fontId="1" numFmtId="0" xfId="0" applyFont="1"/>
    <xf borderId="0" fillId="3" fontId="1" numFmtId="0" xfId="0" applyAlignment="1" applyFont="1">
      <alignment readingOrder="0"/>
    </xf>
    <xf borderId="0" fillId="3" fontId="5" numFmtId="0" xfId="0" applyFont="1"/>
    <xf borderId="0" fillId="3" fontId="1" numFmtId="10" xfId="0" applyFont="1" applyNumberFormat="1"/>
    <xf borderId="0" fillId="3" fontId="1" numFmtId="2" xfId="0" applyFont="1" applyNumberFormat="1"/>
    <xf borderId="0" fillId="3" fontId="1" numFmtId="0" xfId="0" applyAlignment="1" applyFont="1">
      <alignment horizontal="right"/>
    </xf>
    <xf borderId="0" fillId="3" fontId="1" numFmtId="4" xfId="0" applyFont="1" applyNumberFormat="1"/>
    <xf borderId="26" fillId="3" fontId="8" numFmtId="4" xfId="0" applyBorder="1" applyFont="1" applyNumberForma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8" xfId="0" applyBorder="1" applyFont="1" applyNumberFormat="1"/>
    <xf borderId="15" fillId="2" fontId="1" numFmtId="168" xfId="0" applyBorder="1" applyFont="1" applyNumberFormat="1"/>
    <xf borderId="13" fillId="2" fontId="1" numFmtId="168" xfId="0" applyBorder="1" applyFont="1" applyNumberFormat="1"/>
    <xf borderId="3" fillId="2" fontId="1" numFmtId="168" xfId="0" applyBorder="1" applyFont="1" applyNumberFormat="1"/>
    <xf borderId="32" fillId="2" fontId="8" numFmtId="0" xfId="0" applyBorder="1" applyFont="1"/>
    <xf borderId="31" fillId="2" fontId="1" numFmtId="0" xfId="0" applyBorder="1" applyFont="1"/>
    <xf borderId="36" fillId="2" fontId="1" numFmtId="0" xfId="0" applyAlignment="1" applyBorder="1" applyFont="1">
      <alignment horizontal="center"/>
    </xf>
    <xf borderId="37" fillId="3" fontId="1" numFmtId="0" xfId="0" applyBorder="1" applyFont="1"/>
    <xf borderId="1" fillId="3" fontId="1" numFmtId="0" xfId="0" applyBorder="1" applyFont="1"/>
    <xf borderId="1" fillId="3" fontId="5" numFmtId="0" xfId="0" applyBorder="1" applyFont="1"/>
    <xf borderId="1" fillId="3" fontId="1" numFmtId="10" xfId="0" applyBorder="1" applyFont="1" applyNumberFormat="1"/>
    <xf borderId="1" fillId="3" fontId="1" numFmtId="2" xfId="0" applyBorder="1" applyFont="1" applyNumberFormat="1"/>
    <xf borderId="1" fillId="3" fontId="1" numFmtId="0" xfId="0" applyAlignment="1" applyBorder="1" applyFont="1">
      <alignment horizontal="right"/>
    </xf>
    <xf borderId="1" fillId="3" fontId="1" numFmtId="4" xfId="0" applyBorder="1" applyFont="1" applyNumberFormat="1"/>
    <xf borderId="38" fillId="3" fontId="8" numFmtId="4" xfId="0" applyBorder="1" applyFont="1" applyNumberFormat="1"/>
    <xf borderId="35" fillId="2" fontId="1" numFmtId="0" xfId="0" applyAlignment="1" applyBorder="1" applyFont="1">
      <alignment horizontal="center"/>
    </xf>
    <xf borderId="31" fillId="2" fontId="1" numFmtId="0" xfId="0" applyAlignment="1" applyBorder="1" applyFont="1">
      <alignment horizontal="left"/>
    </xf>
    <xf borderId="31" fillId="2" fontId="1" numFmtId="0" xfId="0" applyAlignment="1" applyBorder="1" applyFont="1">
      <alignment horizontal="right"/>
    </xf>
    <xf borderId="31" fillId="2" fontId="1" numFmtId="168" xfId="0" applyBorder="1" applyFont="1" applyNumberFormat="1"/>
    <xf borderId="36" fillId="2" fontId="1" numFmtId="168" xfId="0" applyBorder="1" applyFont="1" applyNumberFormat="1"/>
    <xf borderId="31" fillId="2" fontId="1" numFmtId="168" xfId="0" applyAlignment="1" applyBorder="1" applyFont="1" applyNumberFormat="1">
      <alignment horizontal="center"/>
    </xf>
    <xf borderId="35" fillId="2" fontId="1" numFmtId="168" xfId="0" applyBorder="1" applyFont="1" applyNumberFormat="1"/>
    <xf borderId="14" fillId="2" fontId="1" numFmtId="168" xfId="0" applyBorder="1" applyFont="1" applyNumberFormat="1"/>
    <xf borderId="0" fillId="0" fontId="2" numFmtId="0" xfId="0" applyFont="1"/>
    <xf borderId="0" fillId="0" fontId="1" numFmtId="173" xfId="0" applyFont="1" applyNumberFormat="1"/>
    <xf borderId="0" fillId="0" fontId="2" numFmtId="0" xfId="0" applyAlignment="1" applyFont="1">
      <alignment readingOrder="0"/>
    </xf>
    <xf borderId="0" fillId="0" fontId="15" numFmtId="0" xfId="0" applyFont="1"/>
    <xf borderId="0" fillId="0" fontId="11" numFmtId="0" xfId="0" applyFont="1"/>
    <xf borderId="0" fillId="0" fontId="16" numFmtId="0" xfId="0" applyFont="1"/>
  </cellXfs>
  <cellStyles count="1">
    <cellStyle xfId="0" name="Normal" builtinId="0"/>
  </cellStyles>
  <dxfs count="1">
    <dxf>
      <font>
        <color rgb="FFFF0000"/>
      </font>
      <fill>
        <patternFill patternType="solid">
          <fgColor rgb="FFF4CCCC"/>
          <bgColor rgb="FFF4CCCC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ocumenttasks/documenttask1.xml><?xml version="1.0" encoding="utf-8"?>
<Tasks xmlns="http://schemas.microsoft.com/office/tasks/2019/documenttasks"/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209550</xdr:colOff>
      <xdr:row>0</xdr:row>
      <xdr:rowOff>0</xdr:rowOff>
    </xdr:from>
    <xdr:ext cx="1247775" cy="923925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>
  <x18tc:person displayName="" id="{2c901b14-84e4-4f73-853a-70dd920acc4c}" providerId="google-sheets"/>
  <x18tc:person displayName="vsantiago" id="{35f0a6b0-1654-4dac-b09e-acb4fc943201}" providerId="google-sheets"/>
</x18tc:personList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threadedComments/threadedComment1.xml><?xml version="1.0" encoding="utf-8"?>
<x18tc:ThreadedComments xmlns="http://schemas.openxmlformats.org/spreadsheetml/2006/main" xmlns:x18tc="http://schemas.microsoft.com/office/spreadsheetml/2018/threadedcomments" xmlns:xltc2="http://schemas.microsoft.com/office/spreadsheetml/2020/threadedcomments2" xmlns:r="http://schemas.openxmlformats.org/officeDocument/2006/relationships">
  <x18tc:threadedComment ref="A1" dT="2022-07-13T22:18:42.00" personId="{35f0a6b0-1654-4dac-b09e-acb4fc943201}" id="{ae606913-105a-42de-9e0b-cf4583202a55}" done="1">
    <x18tc:text xml:space="preserve">-vsantiago</x18tc:text>
  </x18tc:threadedComment>
  <x18tc:threadedComment ref="A1" dT="2022-07-13T22:18:42.00" personId="{2c901b14-84e4-4f73-853a-70dd920acc4c}" id="{a50f8f5c-1e7b-4c3c-927c-dd8bf552392a}" done="1">
    <x18tc:text xml:space="preserve">56.28 Seguro de Contenido
	-Adabella Gomez</x18tc:text>
  </x18tc:threadedComment>
  <x18tc:threadedComment ref="A1" dT="2022-07-13T22:18:42.00" personId="{2c901b14-84e4-4f73-853a-70dd920acc4c}" id="{1c309abd-34eb-456a-9b96-9543f85ce74c}" done="1">
    <x18tc:text xml:space="preserve">Se alquilo por 4 años y después se vendio a una firma Venezolana
	-Rafael</x18tc:text>
  </x18tc:threadedComment>
  <x18tc:threadedComment ref="A1" dT="2022-07-13T22:18:42.00" personId="{2c901b14-84e4-4f73-853a-70dd920acc4c}" id="{cad50d0a-65f1-4c04-96a9-ea3f2fc8f059}" done="1">
    <x18tc:text xml:space="preserve">Casos Venta Directa se logra conseguir prospcto en Abril 2010
	-vsantiago</x18tc:text>
  </x18tc:threadedComment>
  <x18tc:threadedComment ref="A1" dT="2022-07-13T22:18:42.00" personId="{2c901b14-84e4-4f73-853a-70dd920acc4c}" id="{b5d5ca41-00a7-43c8-8d2f-8d366ac63e9d}" done="1">
    <x18tc:text xml:space="preserve">6,689
	-John</x18tc:text>
  </x18tc:threadedComment>
  <x18tc:threadedComment ref="A1" dT="2022-07-13T22:18:42.00" personId="{2c901b14-84e4-4f73-853a-70dd920acc4c}" id="{3b5e5c76-fa2e-4d8f-88e9-c408d76429a3}" done="1">
    <x18tc:text xml:space="preserve">El mes en el cual recibimos la propiedad en dación, se manda a abogado o llega a 180 días.
	-John</x18tc:text>
  </x18tc:threadedComment>
  <x18tc:threadedComment ref="A1" dT="2022-07-13T22:18:42.00" personId="{2c901b14-84e4-4f73-853a-70dd920acc4c}" id="{ed34ecd7-c56a-4b8b-9dd3-4391696e2546}" done="1">
    <x18tc:text xml:space="preserve">611
	-John</x18tc:text>
  </x18tc:threadedComment>
  <x18tc:threadedComment ref="A1" dT="2022-07-13T22:18:42.00" personId="{2c901b14-84e4-4f73-853a-70dd920acc4c}" id="{8101d737-3a7c-496e-a0a1-ef67c81f7a76}" done="1">
    <x18tc:text xml:space="preserve">45.56 Seguro de Contenido
	-Adabella Gomez</x18tc:text>
  </x18tc:threadedComment>
  <x18tc:threadedComment ref="A1" dT="2022-07-13T22:18:42.00" personId="{2c901b14-84e4-4f73-853a-70dd920acc4c}" id="{ea247204-c437-4c54-8d35-b9f0ed0bb28d}" done="1">
    <x18tc:text xml:space="preserve">32.16 Seguro de Contenido
	-Adabella Gomez</x18tc:text>
  </x18tc:threadedComment>
  <x18tc:threadedComment ref="A1" dT="2022-07-13T22:18:42.00" personId="{2c901b14-84e4-4f73-853a-70dd920acc4c}" id="{240ecd00-708d-464a-9855-4ed041f5ea76}" done="1">
    <x18tc:text xml:space="preserve">18.76 Seguro de Contenido
	-Adabella Gomez</x18tc:text>
  </x18tc:threadedComment>
  <x18tc:threadedComment ref="A1" dT="2022-07-13T22:18:42.00" personId="{2c901b14-84e4-4f73-853a-70dd920acc4c}" id="{961fa70a-39d0-457f-b7f9-21453c6079fb}" done="1">
    <x18tc:text xml:space="preserve">01-P-3653 y 05-C-7939
	-Rafael</x18tc:text>
  </x18tc:threadedComment>
  <x18tc:threadedComment ref="A1" dT="2022-07-13T22:18:42.00" personId="{2c901b14-84e4-4f73-853a-70dd920acc4c}" id="{b8e1d7da-6c59-4f09-829a-930b309e303c}" done="1">
    <x18tc:text xml:space="preserve">$9,562
	-John</x18tc:text>
  </x18tc:threadedComment>
  <x18tc:threadedComment ref="A1" dT="2022-07-13T22:18:42.00" personId="{2c901b14-84e4-4f73-853a-70dd920acc4c}" id="{cadf50bb-c7a5-4972-a891-9a5d71b0ea38}" done="1">
    <x18tc:text xml:space="preserve">Se alquilo por 4 años y después se vendio a una firma Venezolana
	-Rafael</x18tc:text>
  </x18tc:threadedComment>
  <x18tc:threadedComment ref="A1" dT="2022-07-13T22:18:42.00" personId="{2c901b14-84e4-4f73-853a-70dd920acc4c}" id="{bf03c6be-6830-4de6-bfd6-cb81542890cc}" done="1">
    <x18tc:text xml:space="preserve">La diferencia entre Mes de Incumplimento y Mes de Recuperación.
	-John</x18tc:text>
  </x18tc:threadedComment>
</x18tc:ThreadedComment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microsoft.com/office/2017/10/relationships/threadedComment" Target="../threadedComments/threadedComment1.xml"/><Relationship Id="rId3" Type="http://schemas.microsoft.com/office/2019/04/relationships/documenttask" Target="../documenttasks/documenttask1.xml"/><Relationship Id="rId4" Type="http://schemas.openxmlformats.org/officeDocument/2006/relationships/drawing" Target="../drawings/drawing1.xml"/><Relationship Id="rId5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4.75"/>
    <col customWidth="1" min="2" max="2" width="21.5"/>
    <col customWidth="1" min="3" max="3" width="15.13"/>
    <col customWidth="1" min="4" max="4" width="17.75"/>
    <col customWidth="1" min="5" max="5" width="18.63"/>
    <col customWidth="1" min="6" max="6" width="21.38"/>
    <col customWidth="1" min="7" max="7" width="18.5"/>
    <col customWidth="1" min="8" max="8" width="14.38"/>
    <col customWidth="1" min="9" max="9" width="15.0"/>
    <col customWidth="1" min="10" max="10" width="17.75"/>
    <col customWidth="1" min="11" max="11" width="20.88"/>
    <col customWidth="1" min="12" max="12" width="16.25"/>
    <col customWidth="1" min="13" max="13" width="16.75"/>
    <col customWidth="1" min="14" max="14" width="13.63"/>
    <col customWidth="1" min="15" max="15" width="17.63"/>
    <col customWidth="1" min="16" max="16" width="16.13"/>
    <col customWidth="1" min="17" max="17" width="12.63"/>
    <col customWidth="1" min="18" max="18" width="13.63"/>
    <col customWidth="1" min="19" max="19" width="15.88"/>
    <col customWidth="1" min="20" max="20" width="4.63"/>
    <col customWidth="1" min="21" max="21" width="4.13"/>
    <col customWidth="1" min="22" max="22" width="11.13"/>
    <col customWidth="1" min="23" max="23" width="10.63"/>
    <col customWidth="1" min="24" max="24" width="11.0"/>
    <col customWidth="1" min="25" max="25" width="10.13"/>
    <col customWidth="1" min="26" max="26" width="10.63"/>
    <col customWidth="1" min="27" max="27" width="10.25"/>
    <col customWidth="1" min="28" max="28" width="12.13"/>
    <col customWidth="1" min="29" max="29" width="11.38"/>
    <col customWidth="1" min="30" max="30" width="10.38"/>
    <col customWidth="1" min="31" max="31" width="11.13"/>
    <col customWidth="1" min="32" max="32" width="11.25"/>
    <col customWidth="1" min="33" max="33" width="9.63"/>
    <col customWidth="1" min="34" max="34" width="10.75"/>
    <col customWidth="1" min="35" max="35" width="11.0"/>
    <col customWidth="1" min="36" max="36" width="9.88"/>
    <col customWidth="1" min="37" max="37" width="12.0"/>
    <col customWidth="1" min="38" max="38" width="14.5"/>
    <col customWidth="1" min="39" max="39" width="7.38"/>
    <col customWidth="1" min="40" max="40" width="10.75"/>
    <col customWidth="1" min="41" max="41" width="2.63"/>
    <col customWidth="1" min="42" max="42" width="12.75"/>
    <col customWidth="1" min="43" max="43" width="11.0"/>
    <col customWidth="1" min="44" max="45" width="12.38"/>
    <col customWidth="1" min="46" max="46" width="11.88"/>
    <col customWidth="1" min="47" max="47" width="13.0"/>
    <col customWidth="1" min="48" max="49" width="11.88"/>
    <col customWidth="1" min="50" max="50" width="5.75"/>
    <col customWidth="1" min="51" max="51" width="12.75"/>
    <col customWidth="1" min="52" max="52" width="10.63"/>
    <col customWidth="1" min="53" max="54" width="12.38"/>
    <col customWidth="1" min="55" max="55" width="13.0"/>
    <col customWidth="1" min="56" max="58" width="11.88"/>
    <col customWidth="1" min="59" max="59" width="5.13"/>
    <col customWidth="1" min="60" max="60" width="14.88"/>
    <col customWidth="1" min="61" max="61" width="12.88"/>
    <col customWidth="1" min="62" max="63" width="10.25"/>
    <col customWidth="1" min="64" max="64" width="5.13"/>
    <col customWidth="1" min="65" max="65" width="9.13"/>
    <col customWidth="1" min="66" max="66" width="3.38"/>
    <col customWidth="1" min="67" max="67" width="9.13"/>
    <col customWidth="1" min="68" max="72" width="11.38"/>
  </cols>
  <sheetData>
    <row r="1" ht="20.25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6"/>
      <c r="AE1" s="7"/>
      <c r="AF1" s="8"/>
      <c r="AG1" s="6"/>
      <c r="AH1" s="7"/>
      <c r="AI1" s="9"/>
      <c r="AJ1" s="4"/>
      <c r="AK1" s="10"/>
      <c r="AL1" s="11"/>
      <c r="AM1" s="4"/>
      <c r="AN1" s="4"/>
      <c r="AO1" s="4"/>
      <c r="AP1" s="1"/>
      <c r="AQ1" s="1"/>
      <c r="AR1" s="1"/>
      <c r="AS1" s="1"/>
      <c r="AT1" s="4"/>
      <c r="AU1" s="4"/>
      <c r="AV1" s="4"/>
      <c r="AW1" s="4"/>
      <c r="AX1" s="4"/>
      <c r="AY1" s="1"/>
      <c r="AZ1" s="1"/>
      <c r="BA1" s="1"/>
      <c r="BB1" s="1"/>
      <c r="BC1" s="4"/>
      <c r="BD1" s="1"/>
      <c r="BE1" s="4"/>
      <c r="BF1" s="4"/>
      <c r="BG1" s="4"/>
      <c r="BH1" s="4"/>
      <c r="BI1" s="4"/>
      <c r="BJ1" s="4"/>
      <c r="BK1" s="4"/>
      <c r="BL1" s="4"/>
      <c r="BM1" s="1"/>
      <c r="BN1" s="4"/>
      <c r="BO1" s="4"/>
      <c r="BP1" s="4"/>
      <c r="BQ1" s="4"/>
      <c r="BR1" s="4"/>
      <c r="BS1" s="4"/>
      <c r="BT1" s="4"/>
    </row>
    <row r="2" ht="20.25" customHeight="1">
      <c r="A2" s="12"/>
      <c r="B2" s="13"/>
      <c r="C2" s="14" t="s">
        <v>1</v>
      </c>
      <c r="D2" s="13"/>
      <c r="E2" s="15"/>
      <c r="F2" s="16"/>
      <c r="G2" s="16"/>
      <c r="H2" s="16"/>
      <c r="I2" s="15"/>
      <c r="J2" s="16"/>
      <c r="K2" s="16"/>
      <c r="L2" s="16"/>
      <c r="M2" s="17"/>
      <c r="N2" s="16"/>
      <c r="O2" s="16"/>
      <c r="P2" s="16"/>
      <c r="Q2" s="16"/>
      <c r="R2" s="16"/>
      <c r="S2" s="16"/>
      <c r="T2" s="16"/>
      <c r="U2" s="4"/>
      <c r="V2" s="4"/>
      <c r="W2" s="4"/>
      <c r="X2" s="4"/>
      <c r="Y2" s="4"/>
      <c r="Z2" s="4"/>
      <c r="AA2" s="4"/>
      <c r="AB2" s="4"/>
      <c r="AC2" s="4"/>
      <c r="AD2" s="6"/>
      <c r="AE2" s="7"/>
      <c r="AF2" s="8"/>
      <c r="AG2" s="6"/>
      <c r="AH2" s="7"/>
      <c r="AI2" s="9"/>
      <c r="AJ2" s="4"/>
      <c r="AK2" s="10"/>
      <c r="AL2" s="11"/>
      <c r="AM2" s="4"/>
      <c r="AN2" s="4"/>
      <c r="AO2" s="4"/>
      <c r="AP2" s="1"/>
      <c r="AQ2" s="1"/>
      <c r="AR2" s="1"/>
      <c r="AS2" s="1"/>
      <c r="AT2" s="4"/>
      <c r="AU2" s="4"/>
      <c r="AV2" s="4"/>
      <c r="AW2" s="4"/>
      <c r="AX2" s="4"/>
      <c r="AY2" s="1"/>
      <c r="AZ2" s="1"/>
      <c r="BA2" s="1"/>
      <c r="BB2" s="1"/>
      <c r="BC2" s="4"/>
      <c r="BD2" s="1"/>
      <c r="BE2" s="4"/>
      <c r="BF2" s="4"/>
      <c r="BG2" s="4"/>
      <c r="BH2" s="4"/>
      <c r="BI2" s="4"/>
      <c r="BJ2" s="4"/>
      <c r="BK2" s="4"/>
      <c r="BL2" s="4"/>
      <c r="BM2" s="1"/>
      <c r="BN2" s="4"/>
      <c r="BO2" s="4"/>
      <c r="BP2" s="4"/>
      <c r="BQ2" s="4"/>
      <c r="BR2" s="4"/>
      <c r="BS2" s="4"/>
      <c r="BT2" s="4"/>
    </row>
    <row r="3" ht="20.25" customHeight="1">
      <c r="A3" s="1"/>
      <c r="B3" s="18"/>
      <c r="C3" s="3" t="s">
        <v>2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9"/>
      <c r="O3" s="16"/>
      <c r="P3" s="16"/>
      <c r="Q3" s="16"/>
      <c r="R3" s="16"/>
      <c r="S3" s="16"/>
      <c r="T3" s="4"/>
      <c r="U3" s="4"/>
      <c r="V3" s="4"/>
      <c r="W3" s="4"/>
      <c r="X3" s="4"/>
      <c r="Y3" s="4"/>
      <c r="Z3" s="4"/>
      <c r="AA3" s="4"/>
      <c r="AB3" s="4"/>
      <c r="AC3" s="4"/>
      <c r="AD3" s="6"/>
      <c r="AE3" s="7"/>
      <c r="AF3" s="8"/>
      <c r="AG3" s="6"/>
      <c r="AH3" s="7"/>
      <c r="AI3" s="9"/>
      <c r="AJ3" s="4"/>
      <c r="AK3" s="10"/>
      <c r="AL3" s="11"/>
      <c r="AM3" s="4"/>
      <c r="AN3" s="4"/>
      <c r="AO3" s="4"/>
      <c r="AP3" s="1"/>
      <c r="AQ3" s="1"/>
      <c r="AR3" s="1"/>
      <c r="AS3" s="1"/>
      <c r="AT3" s="4"/>
      <c r="AU3" s="4"/>
      <c r="AV3" s="4"/>
      <c r="AW3" s="4"/>
      <c r="AX3" s="4"/>
      <c r="AY3" s="1"/>
      <c r="AZ3" s="1"/>
      <c r="BA3" s="1"/>
      <c r="BB3" s="1"/>
      <c r="BC3" s="4"/>
      <c r="BD3" s="1"/>
      <c r="BE3" s="4"/>
      <c r="BF3" s="4"/>
      <c r="BG3" s="4"/>
      <c r="BH3" s="4"/>
      <c r="BI3" s="4"/>
      <c r="BJ3" s="4"/>
      <c r="BK3" s="4"/>
      <c r="BL3" s="4"/>
      <c r="BM3" s="1"/>
      <c r="BN3" s="4"/>
      <c r="BO3" s="4"/>
      <c r="BP3" s="4"/>
      <c r="BQ3" s="4"/>
      <c r="BR3" s="4"/>
      <c r="BS3" s="4"/>
      <c r="BT3" s="4"/>
    </row>
    <row r="4" ht="18.75" customHeight="1">
      <c r="A4" s="20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3"/>
      <c r="O4" s="22"/>
      <c r="P4" s="22"/>
      <c r="Q4" s="22"/>
      <c r="R4" s="22"/>
      <c r="S4" s="22"/>
      <c r="AD4" s="24"/>
      <c r="AE4" s="25"/>
      <c r="AF4" s="26"/>
      <c r="AG4" s="24"/>
      <c r="AH4" s="25"/>
      <c r="AI4" s="27"/>
      <c r="AK4" s="28"/>
      <c r="AL4" s="29"/>
      <c r="AP4" s="20"/>
      <c r="AQ4" s="20"/>
      <c r="AR4" s="20"/>
      <c r="AS4" s="20"/>
      <c r="AY4" s="20"/>
      <c r="AZ4" s="20"/>
      <c r="BA4" s="20"/>
      <c r="BB4" s="20"/>
      <c r="BD4" s="20"/>
      <c r="BM4" s="20"/>
    </row>
    <row r="5" ht="19.5" customHeight="1">
      <c r="A5" s="30"/>
      <c r="B5" s="31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3"/>
      <c r="O5" s="32"/>
      <c r="P5" s="32"/>
      <c r="Q5" s="32"/>
      <c r="R5" s="32"/>
      <c r="S5" s="32"/>
      <c r="T5" s="34"/>
      <c r="U5" s="35"/>
      <c r="V5" s="36" t="s">
        <v>3</v>
      </c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8"/>
      <c r="AM5" s="35"/>
      <c r="AN5" s="35"/>
      <c r="AO5" s="35"/>
      <c r="AP5" s="39" t="s">
        <v>4</v>
      </c>
      <c r="AQ5" s="40"/>
      <c r="AR5" s="40"/>
      <c r="AS5" s="40"/>
      <c r="AT5" s="40"/>
      <c r="AU5" s="40"/>
      <c r="AV5" s="40"/>
      <c r="AW5" s="41"/>
      <c r="AX5" s="35"/>
      <c r="AY5" s="42" t="s">
        <v>5</v>
      </c>
      <c r="AZ5" s="37"/>
      <c r="BA5" s="37"/>
      <c r="BB5" s="37"/>
      <c r="BC5" s="37"/>
      <c r="BD5" s="37"/>
      <c r="BE5" s="37"/>
      <c r="BF5" s="38"/>
      <c r="BG5" s="35"/>
      <c r="BH5" s="43"/>
      <c r="BI5" s="44"/>
      <c r="BJ5" s="44"/>
      <c r="BK5" s="45"/>
      <c r="BL5" s="35"/>
      <c r="BM5" s="46"/>
      <c r="BN5" s="35"/>
      <c r="BO5" s="35"/>
      <c r="BP5" s="35"/>
      <c r="BQ5" s="35"/>
      <c r="BR5" s="35"/>
      <c r="BS5" s="35"/>
      <c r="BT5" s="35"/>
    </row>
    <row r="6" ht="116.25" customHeight="1">
      <c r="A6" s="47" t="s">
        <v>6</v>
      </c>
      <c r="B6" s="48" t="s">
        <v>7</v>
      </c>
      <c r="C6" s="49" t="s">
        <v>8</v>
      </c>
      <c r="D6" s="49" t="s">
        <v>9</v>
      </c>
      <c r="E6" s="50" t="s">
        <v>10</v>
      </c>
      <c r="F6" s="50" t="s">
        <v>11</v>
      </c>
      <c r="G6" s="48" t="s">
        <v>12</v>
      </c>
      <c r="H6" s="50" t="s">
        <v>13</v>
      </c>
      <c r="I6" s="48" t="s">
        <v>14</v>
      </c>
      <c r="J6" s="50" t="s">
        <v>15</v>
      </c>
      <c r="K6" s="50" t="s">
        <v>16</v>
      </c>
      <c r="L6" s="50" t="s">
        <v>17</v>
      </c>
      <c r="M6" s="50" t="s">
        <v>18</v>
      </c>
      <c r="N6" s="50" t="s">
        <v>19</v>
      </c>
      <c r="O6" s="50" t="s">
        <v>20</v>
      </c>
      <c r="P6" s="50" t="s">
        <v>21</v>
      </c>
      <c r="Q6" s="50" t="s">
        <v>22</v>
      </c>
      <c r="R6" s="50" t="s">
        <v>23</v>
      </c>
      <c r="S6" s="50" t="s">
        <v>24</v>
      </c>
      <c r="T6" s="51"/>
      <c r="U6" s="52"/>
      <c r="V6" s="53" t="s">
        <v>25</v>
      </c>
      <c r="W6" s="53" t="s">
        <v>26</v>
      </c>
      <c r="X6" s="53" t="s">
        <v>27</v>
      </c>
      <c r="Y6" s="53" t="s">
        <v>28</v>
      </c>
      <c r="Z6" s="53" t="s">
        <v>29</v>
      </c>
      <c r="AA6" s="53" t="s">
        <v>30</v>
      </c>
      <c r="AB6" s="54" t="s">
        <v>31</v>
      </c>
      <c r="AC6" s="53" t="s">
        <v>32</v>
      </c>
      <c r="AD6" s="55" t="s">
        <v>33</v>
      </c>
      <c r="AE6" s="56" t="s">
        <v>34</v>
      </c>
      <c r="AF6" s="53" t="s">
        <v>35</v>
      </c>
      <c r="AG6" s="55" t="s">
        <v>36</v>
      </c>
      <c r="AH6" s="56" t="s">
        <v>37</v>
      </c>
      <c r="AI6" s="57" t="s">
        <v>38</v>
      </c>
      <c r="AJ6" s="54" t="s">
        <v>39</v>
      </c>
      <c r="AK6" s="58" t="s">
        <v>40</v>
      </c>
      <c r="AL6" s="59" t="s">
        <v>41</v>
      </c>
      <c r="AP6" s="60" t="s">
        <v>42</v>
      </c>
      <c r="AQ6" s="60" t="s">
        <v>43</v>
      </c>
      <c r="AR6" s="60" t="s">
        <v>44</v>
      </c>
      <c r="AS6" s="61" t="s">
        <v>45</v>
      </c>
      <c r="AT6" s="60" t="s">
        <v>46</v>
      </c>
      <c r="AU6" s="60" t="s">
        <v>47</v>
      </c>
      <c r="AV6" s="60" t="s">
        <v>48</v>
      </c>
      <c r="AW6" s="60" t="s">
        <v>49</v>
      </c>
      <c r="AY6" s="60" t="s">
        <v>50</v>
      </c>
      <c r="AZ6" s="60" t="s">
        <v>43</v>
      </c>
      <c r="BA6" s="60" t="s">
        <v>51</v>
      </c>
      <c r="BB6" s="60" t="s">
        <v>52</v>
      </c>
      <c r="BC6" s="60" t="s">
        <v>46</v>
      </c>
      <c r="BD6" s="60" t="s">
        <v>47</v>
      </c>
      <c r="BE6" s="60" t="s">
        <v>48</v>
      </c>
      <c r="BF6" s="60" t="s">
        <v>49</v>
      </c>
      <c r="BH6" s="62" t="s">
        <v>53</v>
      </c>
      <c r="BI6" s="63"/>
      <c r="BJ6" s="63"/>
      <c r="BK6" s="64"/>
      <c r="BL6" s="4"/>
      <c r="BM6" s="50" t="s">
        <v>54</v>
      </c>
    </row>
    <row r="7" ht="12.75" customHeight="1">
      <c r="A7" s="65"/>
      <c r="B7" s="66" t="s">
        <v>55</v>
      </c>
      <c r="C7" s="67">
        <v>21318.0</v>
      </c>
      <c r="D7" s="68">
        <v>10.0</v>
      </c>
      <c r="E7" s="67">
        <v>20695.95</v>
      </c>
      <c r="F7" s="68" t="s">
        <v>56</v>
      </c>
      <c r="G7" s="69">
        <v>36586.0</v>
      </c>
      <c r="H7" s="70" t="s">
        <v>57</v>
      </c>
      <c r="I7" s="69">
        <v>36831.0</v>
      </c>
      <c r="J7" s="71">
        <f t="shared" ref="J7:J192" si="1">IF(I7="Active",0,(IF(I7="N/A","N/A",(I7-G7)/30)))</f>
        <v>8.166666667</v>
      </c>
      <c r="K7" s="72" t="s">
        <v>58</v>
      </c>
      <c r="L7" s="72">
        <v>21660.0</v>
      </c>
      <c r="M7" s="73">
        <v>1210.11</v>
      </c>
      <c r="N7" s="73">
        <v>1395.45</v>
      </c>
      <c r="O7" s="73">
        <v>0.0</v>
      </c>
      <c r="P7" s="73">
        <f t="shared" ref="P7:P43" si="2">IF(L7="N/A",0,IF(L7-E7&gt;0,0,E7-L7))</f>
        <v>0</v>
      </c>
      <c r="Q7" s="73">
        <f t="shared" ref="Q7:Q80" si="3">IF(L7="N/A",0,IF(L7-E7-M7-N7-O7&gt;0,0,(L7-E7-M7-N7-O7)*-1))</f>
        <v>1641.51</v>
      </c>
      <c r="R7" s="74">
        <f t="shared" ref="R7:R192" si="4">IF(J7="N/A","N/A",Q7/E7)</f>
        <v>0.07931551825</v>
      </c>
      <c r="S7" s="74">
        <f t="shared" ref="S7:S192" si="5">IF(R7="N/A","N/A",MAX(0,1-R7))</f>
        <v>0.9206844817</v>
      </c>
      <c r="T7" s="75"/>
      <c r="V7" s="76"/>
      <c r="W7" s="77"/>
      <c r="X7" s="77"/>
      <c r="Y7" s="77"/>
      <c r="Z7" s="77"/>
      <c r="AA7" s="77"/>
      <c r="AB7" s="78">
        <f t="shared" ref="AB7:AB132" si="6">AA7+Z7</f>
        <v>0</v>
      </c>
      <c r="AC7" s="77"/>
      <c r="AD7" s="79"/>
      <c r="AE7" s="80"/>
      <c r="AF7" s="81"/>
      <c r="AG7" s="79"/>
      <c r="AH7" s="80"/>
      <c r="AI7" s="82"/>
      <c r="AJ7" s="82">
        <f t="shared" ref="AJ7:AJ249" si="7">AE7+AH7</f>
        <v>0</v>
      </c>
      <c r="AK7" s="83"/>
      <c r="AL7" s="84">
        <f t="shared" ref="AL7:AL132" si="8">X7+Y7+Z7+AJ7</f>
        <v>0</v>
      </c>
      <c r="AP7" s="85">
        <f t="shared" ref="AP7:AP389" si="9">IF(F7="Legal Foreclosure",1,0)</f>
        <v>1</v>
      </c>
      <c r="AQ7" s="20">
        <f t="shared" ref="AQ7:AQ389" si="10">IF(I7="N/A",0,1)</f>
        <v>1</v>
      </c>
      <c r="AR7" s="20">
        <f t="shared" ref="AR7:AR394" si="11">AP7*AQ7</f>
        <v>1</v>
      </c>
      <c r="AS7" s="86">
        <f t="shared" ref="AS7:AS394" si="12">(N7+O7)*AR7</f>
        <v>1395.45</v>
      </c>
      <c r="AT7" s="87">
        <f t="shared" ref="AT7:AT394" si="13">E7*AR7</f>
        <v>20695.95</v>
      </c>
      <c r="AU7" s="88">
        <f t="shared" ref="AU7:AU194" si="14">IF(AR7=1,J7,0)</f>
        <v>8.166666667</v>
      </c>
      <c r="AV7" s="89" t="str">
        <f t="shared" ref="AV7:AV394" si="15">AT7/$AT$395*AR7</f>
        <v>#VALUE!</v>
      </c>
      <c r="AW7" s="90" t="str">
        <f t="shared" ref="AW7:AW389" si="16">IF(AR7=0,0,R7*AV7)</f>
        <v>#VALUE!</v>
      </c>
      <c r="AY7" s="85">
        <f t="shared" ref="AY7:AY389" si="17">IF(F7="Deed in Lieu",1,0)</f>
        <v>0</v>
      </c>
      <c r="AZ7" s="20">
        <f t="shared" ref="AZ7:AZ389" si="18">IF(I7="N/A",0,1)</f>
        <v>1</v>
      </c>
      <c r="BA7" s="20">
        <f t="shared" ref="BA7:BA394" si="19">AY7*AZ7</f>
        <v>0</v>
      </c>
      <c r="BB7" s="91">
        <f t="shared" ref="BB7:BB394" si="20">(N7+O7)*BA7</f>
        <v>0</v>
      </c>
      <c r="BC7" s="87">
        <f t="shared" ref="BC7:BC394" si="21">E7*BA7</f>
        <v>0</v>
      </c>
      <c r="BD7" s="92">
        <f t="shared" ref="BD7:BD389" si="22">IF(BA7=1,J7,0)</f>
        <v>0</v>
      </c>
      <c r="BE7" s="89" t="str">
        <f t="shared" ref="BE7:BE394" si="23">BC7/$BC$395*BA7</f>
        <v>#VALUE!</v>
      </c>
      <c r="BF7" s="90">
        <f t="shared" ref="BF7:BF389" si="24">IF(BA7=0,0,R7*BE7)</f>
        <v>0</v>
      </c>
      <c r="BH7" s="93">
        <f t="shared" ref="BH7:BH394" si="25">AT7+BC7</f>
        <v>20695.95</v>
      </c>
      <c r="BI7" s="94">
        <f t="shared" ref="BI7:BI394" si="26">AR7+BA7</f>
        <v>1</v>
      </c>
      <c r="BJ7" s="95" t="str">
        <f t="shared" ref="BJ7:BJ394" si="27">BH7/$BH$395</f>
        <v>#VALUE!</v>
      </c>
      <c r="BK7" s="96" t="str">
        <f t="shared" ref="BK7:BK378" si="28">IF(BI7=0,0,R7*BJ7)</f>
        <v>#VALUE!</v>
      </c>
      <c r="BM7" s="97">
        <f t="shared" ref="BM7:BM394" si="29">IF(E7&gt;1,1,0)</f>
        <v>1</v>
      </c>
    </row>
    <row r="8" ht="12.75" customHeight="1">
      <c r="A8" s="65"/>
      <c r="B8" s="66" t="s">
        <v>59</v>
      </c>
      <c r="C8" s="67">
        <v>69600.0</v>
      </c>
      <c r="D8" s="68">
        <v>11.0</v>
      </c>
      <c r="E8" s="67">
        <v>67584.4</v>
      </c>
      <c r="F8" s="68" t="s">
        <v>56</v>
      </c>
      <c r="G8" s="69">
        <v>36770.0</v>
      </c>
      <c r="H8" s="71" t="s">
        <v>57</v>
      </c>
      <c r="I8" s="69">
        <v>37043.0</v>
      </c>
      <c r="J8" s="71">
        <f t="shared" si="1"/>
        <v>9.1</v>
      </c>
      <c r="K8" s="72" t="s">
        <v>60</v>
      </c>
      <c r="L8" s="72">
        <v>92000.0</v>
      </c>
      <c r="M8" s="73">
        <v>6064.0</v>
      </c>
      <c r="N8" s="73">
        <v>4000.0</v>
      </c>
      <c r="O8" s="73">
        <v>3800.0</v>
      </c>
      <c r="P8" s="73">
        <f t="shared" si="2"/>
        <v>0</v>
      </c>
      <c r="Q8" s="73">
        <f t="shared" si="3"/>
        <v>0</v>
      </c>
      <c r="R8" s="74">
        <f t="shared" si="4"/>
        <v>0</v>
      </c>
      <c r="S8" s="74">
        <f t="shared" si="5"/>
        <v>1</v>
      </c>
      <c r="T8" s="75"/>
      <c r="V8" s="76"/>
      <c r="W8" s="77"/>
      <c r="X8" s="77"/>
      <c r="Y8" s="77"/>
      <c r="Z8" s="77"/>
      <c r="AA8" s="77"/>
      <c r="AB8" s="78">
        <f t="shared" si="6"/>
        <v>0</v>
      </c>
      <c r="AC8" s="77"/>
      <c r="AD8" s="79"/>
      <c r="AE8" s="80"/>
      <c r="AF8" s="81"/>
      <c r="AG8" s="79"/>
      <c r="AH8" s="80"/>
      <c r="AI8" s="82"/>
      <c r="AJ8" s="82">
        <f t="shared" si="7"/>
        <v>0</v>
      </c>
      <c r="AK8" s="83"/>
      <c r="AL8" s="84">
        <f t="shared" si="8"/>
        <v>0</v>
      </c>
      <c r="AP8" s="85">
        <f t="shared" si="9"/>
        <v>1</v>
      </c>
      <c r="AQ8" s="20">
        <f t="shared" si="10"/>
        <v>1</v>
      </c>
      <c r="AR8" s="20">
        <f t="shared" si="11"/>
        <v>1</v>
      </c>
      <c r="AS8" s="86">
        <f t="shared" si="12"/>
        <v>7800</v>
      </c>
      <c r="AT8" s="87">
        <f t="shared" si="13"/>
        <v>67584.4</v>
      </c>
      <c r="AU8" s="88">
        <f t="shared" si="14"/>
        <v>9.1</v>
      </c>
      <c r="AV8" s="89" t="str">
        <f t="shared" si="15"/>
        <v>#VALUE!</v>
      </c>
      <c r="AW8" s="90" t="str">
        <f t="shared" si="16"/>
        <v>#VALUE!</v>
      </c>
      <c r="AY8" s="85">
        <f t="shared" si="17"/>
        <v>0</v>
      </c>
      <c r="AZ8" s="20">
        <f t="shared" si="18"/>
        <v>1</v>
      </c>
      <c r="BA8" s="20">
        <f t="shared" si="19"/>
        <v>0</v>
      </c>
      <c r="BB8" s="91">
        <f t="shared" si="20"/>
        <v>0</v>
      </c>
      <c r="BC8" s="87">
        <f t="shared" si="21"/>
        <v>0</v>
      </c>
      <c r="BD8" s="92">
        <f t="shared" si="22"/>
        <v>0</v>
      </c>
      <c r="BE8" s="89" t="str">
        <f t="shared" si="23"/>
        <v>#VALUE!</v>
      </c>
      <c r="BF8" s="90">
        <f t="shared" si="24"/>
        <v>0</v>
      </c>
      <c r="BH8" s="93">
        <f t="shared" si="25"/>
        <v>67584.4</v>
      </c>
      <c r="BI8" s="94">
        <f t="shared" si="26"/>
        <v>1</v>
      </c>
      <c r="BJ8" s="95" t="str">
        <f t="shared" si="27"/>
        <v>#VALUE!</v>
      </c>
      <c r="BK8" s="96" t="str">
        <f t="shared" si="28"/>
        <v>#VALUE!</v>
      </c>
      <c r="BM8" s="97">
        <f t="shared" si="29"/>
        <v>1</v>
      </c>
    </row>
    <row r="9" ht="12.75" customHeight="1">
      <c r="A9" s="65"/>
      <c r="B9" s="66" t="s">
        <v>61</v>
      </c>
      <c r="C9" s="67">
        <v>72000.0</v>
      </c>
      <c r="D9" s="68">
        <v>13.0</v>
      </c>
      <c r="E9" s="67">
        <v>70452.48</v>
      </c>
      <c r="F9" s="68" t="s">
        <v>56</v>
      </c>
      <c r="G9" s="69">
        <v>36800.0</v>
      </c>
      <c r="H9" s="71" t="s">
        <v>57</v>
      </c>
      <c r="I9" s="69">
        <v>37226.0</v>
      </c>
      <c r="J9" s="71">
        <f t="shared" si="1"/>
        <v>14.2</v>
      </c>
      <c r="K9" s="72" t="s">
        <v>62</v>
      </c>
      <c r="L9" s="72">
        <v>85000.0</v>
      </c>
      <c r="M9" s="73">
        <v>13794.68</v>
      </c>
      <c r="N9" s="73">
        <v>4900.0</v>
      </c>
      <c r="O9" s="73">
        <v>0.0</v>
      </c>
      <c r="P9" s="73">
        <f t="shared" si="2"/>
        <v>0</v>
      </c>
      <c r="Q9" s="73">
        <f t="shared" si="3"/>
        <v>4147.16</v>
      </c>
      <c r="R9" s="74">
        <f t="shared" si="4"/>
        <v>0.05886464181</v>
      </c>
      <c r="S9" s="74">
        <f t="shared" si="5"/>
        <v>0.9411353582</v>
      </c>
      <c r="T9" s="75"/>
      <c r="V9" s="76"/>
      <c r="W9" s="77"/>
      <c r="X9" s="77"/>
      <c r="Y9" s="77"/>
      <c r="Z9" s="77"/>
      <c r="AA9" s="77"/>
      <c r="AB9" s="78">
        <f t="shared" si="6"/>
        <v>0</v>
      </c>
      <c r="AC9" s="77"/>
      <c r="AD9" s="79"/>
      <c r="AE9" s="80"/>
      <c r="AF9" s="81"/>
      <c r="AG9" s="79"/>
      <c r="AH9" s="80"/>
      <c r="AI9" s="82"/>
      <c r="AJ9" s="82">
        <f t="shared" si="7"/>
        <v>0</v>
      </c>
      <c r="AK9" s="83"/>
      <c r="AL9" s="84">
        <f t="shared" si="8"/>
        <v>0</v>
      </c>
      <c r="AP9" s="85">
        <f t="shared" si="9"/>
        <v>1</v>
      </c>
      <c r="AQ9" s="20">
        <f t="shared" si="10"/>
        <v>1</v>
      </c>
      <c r="AR9" s="20">
        <f t="shared" si="11"/>
        <v>1</v>
      </c>
      <c r="AS9" s="86">
        <f t="shared" si="12"/>
        <v>4900</v>
      </c>
      <c r="AT9" s="87">
        <f t="shared" si="13"/>
        <v>70452.48</v>
      </c>
      <c r="AU9" s="88">
        <f t="shared" si="14"/>
        <v>14.2</v>
      </c>
      <c r="AV9" s="89" t="str">
        <f t="shared" si="15"/>
        <v>#VALUE!</v>
      </c>
      <c r="AW9" s="90" t="str">
        <f t="shared" si="16"/>
        <v>#VALUE!</v>
      </c>
      <c r="AY9" s="85">
        <f t="shared" si="17"/>
        <v>0</v>
      </c>
      <c r="AZ9" s="20">
        <f t="shared" si="18"/>
        <v>1</v>
      </c>
      <c r="BA9" s="20">
        <f t="shared" si="19"/>
        <v>0</v>
      </c>
      <c r="BB9" s="91">
        <f t="shared" si="20"/>
        <v>0</v>
      </c>
      <c r="BC9" s="87">
        <f t="shared" si="21"/>
        <v>0</v>
      </c>
      <c r="BD9" s="92">
        <f t="shared" si="22"/>
        <v>0</v>
      </c>
      <c r="BE9" s="89" t="str">
        <f t="shared" si="23"/>
        <v>#VALUE!</v>
      </c>
      <c r="BF9" s="90">
        <f t="shared" si="24"/>
        <v>0</v>
      </c>
      <c r="BH9" s="93">
        <f t="shared" si="25"/>
        <v>70452.48</v>
      </c>
      <c r="BI9" s="94">
        <f t="shared" si="26"/>
        <v>1</v>
      </c>
      <c r="BJ9" s="95" t="str">
        <f t="shared" si="27"/>
        <v>#VALUE!</v>
      </c>
      <c r="BK9" s="96" t="str">
        <f t="shared" si="28"/>
        <v>#VALUE!</v>
      </c>
      <c r="BM9" s="97">
        <f t="shared" si="29"/>
        <v>1</v>
      </c>
    </row>
    <row r="10" ht="12.75" customHeight="1">
      <c r="A10" s="65"/>
      <c r="B10" s="66" t="s">
        <v>63</v>
      </c>
      <c r="C10" s="67">
        <v>21090.0</v>
      </c>
      <c r="D10" s="68">
        <v>11.0</v>
      </c>
      <c r="E10" s="67">
        <v>21046.78</v>
      </c>
      <c r="F10" s="68" t="s">
        <v>64</v>
      </c>
      <c r="G10" s="69">
        <v>37591.0</v>
      </c>
      <c r="H10" s="71" t="s">
        <v>57</v>
      </c>
      <c r="I10" s="69">
        <v>37622.0</v>
      </c>
      <c r="J10" s="71">
        <f t="shared" si="1"/>
        <v>1.033333333</v>
      </c>
      <c r="K10" s="72" t="s">
        <v>65</v>
      </c>
      <c r="L10" s="72">
        <v>22200.0</v>
      </c>
      <c r="M10" s="73">
        <v>964.0</v>
      </c>
      <c r="N10" s="73">
        <v>0.0</v>
      </c>
      <c r="O10" s="73">
        <v>0.0</v>
      </c>
      <c r="P10" s="73">
        <f t="shared" si="2"/>
        <v>0</v>
      </c>
      <c r="Q10" s="73">
        <f t="shared" si="3"/>
        <v>0</v>
      </c>
      <c r="R10" s="74">
        <f t="shared" si="4"/>
        <v>0</v>
      </c>
      <c r="S10" s="74">
        <f t="shared" si="5"/>
        <v>1</v>
      </c>
      <c r="T10" s="75"/>
      <c r="V10" s="76"/>
      <c r="W10" s="77"/>
      <c r="X10" s="77"/>
      <c r="Y10" s="77"/>
      <c r="Z10" s="77"/>
      <c r="AA10" s="77"/>
      <c r="AB10" s="78">
        <f t="shared" si="6"/>
        <v>0</v>
      </c>
      <c r="AC10" s="77"/>
      <c r="AD10" s="79"/>
      <c r="AE10" s="80"/>
      <c r="AF10" s="81"/>
      <c r="AG10" s="79"/>
      <c r="AH10" s="80"/>
      <c r="AI10" s="82"/>
      <c r="AJ10" s="82">
        <f t="shared" si="7"/>
        <v>0</v>
      </c>
      <c r="AK10" s="83"/>
      <c r="AL10" s="84">
        <f t="shared" si="8"/>
        <v>0</v>
      </c>
      <c r="AP10" s="85">
        <f t="shared" si="9"/>
        <v>0</v>
      </c>
      <c r="AQ10" s="20">
        <f t="shared" si="10"/>
        <v>1</v>
      </c>
      <c r="AR10" s="20">
        <f t="shared" si="11"/>
        <v>0</v>
      </c>
      <c r="AS10" s="86">
        <f t="shared" si="12"/>
        <v>0</v>
      </c>
      <c r="AT10" s="87">
        <f t="shared" si="13"/>
        <v>0</v>
      </c>
      <c r="AU10" s="88">
        <f t="shared" si="14"/>
        <v>0</v>
      </c>
      <c r="AV10" s="89" t="str">
        <f t="shared" si="15"/>
        <v>#VALUE!</v>
      </c>
      <c r="AW10" s="90">
        <f t="shared" si="16"/>
        <v>0</v>
      </c>
      <c r="AY10" s="85">
        <f t="shared" si="17"/>
        <v>1</v>
      </c>
      <c r="AZ10" s="20">
        <f t="shared" si="18"/>
        <v>1</v>
      </c>
      <c r="BA10" s="20">
        <f t="shared" si="19"/>
        <v>1</v>
      </c>
      <c r="BB10" s="91">
        <f t="shared" si="20"/>
        <v>0</v>
      </c>
      <c r="BC10" s="87">
        <f t="shared" si="21"/>
        <v>21046.78</v>
      </c>
      <c r="BD10" s="92">
        <f t="shared" si="22"/>
        <v>1.033333333</v>
      </c>
      <c r="BE10" s="89" t="str">
        <f t="shared" si="23"/>
        <v>#VALUE!</v>
      </c>
      <c r="BF10" s="90" t="str">
        <f t="shared" si="24"/>
        <v>#VALUE!</v>
      </c>
      <c r="BH10" s="93">
        <f t="shared" si="25"/>
        <v>21046.78</v>
      </c>
      <c r="BI10" s="94">
        <f t="shared" si="26"/>
        <v>1</v>
      </c>
      <c r="BJ10" s="95" t="str">
        <f t="shared" si="27"/>
        <v>#VALUE!</v>
      </c>
      <c r="BK10" s="96" t="str">
        <f t="shared" si="28"/>
        <v>#VALUE!</v>
      </c>
      <c r="BM10" s="97">
        <f t="shared" si="29"/>
        <v>1</v>
      </c>
    </row>
    <row r="11" ht="12.75" customHeight="1">
      <c r="A11" s="65"/>
      <c r="B11" s="66" t="s">
        <v>66</v>
      </c>
      <c r="C11" s="67">
        <v>21090.0</v>
      </c>
      <c r="D11" s="68">
        <v>13.0</v>
      </c>
      <c r="E11" s="67">
        <v>20675.16</v>
      </c>
      <c r="F11" s="68" t="s">
        <v>64</v>
      </c>
      <c r="G11" s="69">
        <v>37622.0</v>
      </c>
      <c r="H11" s="71" t="s">
        <v>57</v>
      </c>
      <c r="I11" s="69">
        <v>37622.0</v>
      </c>
      <c r="J11" s="71">
        <f t="shared" si="1"/>
        <v>0</v>
      </c>
      <c r="K11" s="72" t="s">
        <v>67</v>
      </c>
      <c r="L11" s="72">
        <v>22632.71</v>
      </c>
      <c r="M11" s="73">
        <v>1077.29</v>
      </c>
      <c r="N11" s="73">
        <v>0.0</v>
      </c>
      <c r="O11" s="73">
        <v>884.0</v>
      </c>
      <c r="P11" s="73">
        <f t="shared" si="2"/>
        <v>0</v>
      </c>
      <c r="Q11" s="73">
        <f t="shared" si="3"/>
        <v>3.74</v>
      </c>
      <c r="R11" s="74">
        <f t="shared" si="4"/>
        <v>0.0001808934006</v>
      </c>
      <c r="S11" s="74">
        <f t="shared" si="5"/>
        <v>0.9998191066</v>
      </c>
      <c r="T11" s="75"/>
      <c r="V11" s="76"/>
      <c r="W11" s="77"/>
      <c r="X11" s="77"/>
      <c r="Y11" s="77"/>
      <c r="Z11" s="77"/>
      <c r="AA11" s="77"/>
      <c r="AB11" s="78">
        <f t="shared" si="6"/>
        <v>0</v>
      </c>
      <c r="AC11" s="77"/>
      <c r="AD11" s="79"/>
      <c r="AE11" s="80"/>
      <c r="AF11" s="81"/>
      <c r="AG11" s="79"/>
      <c r="AH11" s="80"/>
      <c r="AI11" s="82"/>
      <c r="AJ11" s="82">
        <f t="shared" si="7"/>
        <v>0</v>
      </c>
      <c r="AK11" s="83"/>
      <c r="AL11" s="84">
        <f t="shared" si="8"/>
        <v>0</v>
      </c>
      <c r="AP11" s="85">
        <f t="shared" si="9"/>
        <v>0</v>
      </c>
      <c r="AQ11" s="20">
        <f t="shared" si="10"/>
        <v>1</v>
      </c>
      <c r="AR11" s="20">
        <f t="shared" si="11"/>
        <v>0</v>
      </c>
      <c r="AS11" s="86">
        <f t="shared" si="12"/>
        <v>0</v>
      </c>
      <c r="AT11" s="87">
        <f t="shared" si="13"/>
        <v>0</v>
      </c>
      <c r="AU11" s="88">
        <f t="shared" si="14"/>
        <v>0</v>
      </c>
      <c r="AV11" s="89" t="str">
        <f t="shared" si="15"/>
        <v>#VALUE!</v>
      </c>
      <c r="AW11" s="90">
        <f t="shared" si="16"/>
        <v>0</v>
      </c>
      <c r="AY11" s="85">
        <f t="shared" si="17"/>
        <v>1</v>
      </c>
      <c r="AZ11" s="20">
        <f t="shared" si="18"/>
        <v>1</v>
      </c>
      <c r="BA11" s="20">
        <f t="shared" si="19"/>
        <v>1</v>
      </c>
      <c r="BB11" s="91">
        <f t="shared" si="20"/>
        <v>884</v>
      </c>
      <c r="BC11" s="87">
        <f t="shared" si="21"/>
        <v>20675.16</v>
      </c>
      <c r="BD11" s="92">
        <f t="shared" si="22"/>
        <v>0</v>
      </c>
      <c r="BE11" s="89" t="str">
        <f t="shared" si="23"/>
        <v>#VALUE!</v>
      </c>
      <c r="BF11" s="90" t="str">
        <f t="shared" si="24"/>
        <v>#VALUE!</v>
      </c>
      <c r="BH11" s="93">
        <f t="shared" si="25"/>
        <v>20675.16</v>
      </c>
      <c r="BI11" s="94">
        <f t="shared" si="26"/>
        <v>1</v>
      </c>
      <c r="BJ11" s="95" t="str">
        <f t="shared" si="27"/>
        <v>#VALUE!</v>
      </c>
      <c r="BK11" s="96" t="str">
        <f t="shared" si="28"/>
        <v>#VALUE!</v>
      </c>
      <c r="BM11" s="97">
        <f t="shared" si="29"/>
        <v>1</v>
      </c>
    </row>
    <row r="12" ht="12.75" customHeight="1">
      <c r="A12" s="65"/>
      <c r="B12" s="66" t="s">
        <v>68</v>
      </c>
      <c r="C12" s="67">
        <v>85000.0</v>
      </c>
      <c r="D12" s="68">
        <v>7.0</v>
      </c>
      <c r="E12" s="67">
        <v>84550.64</v>
      </c>
      <c r="F12" s="68" t="s">
        <v>64</v>
      </c>
      <c r="G12" s="69">
        <v>37773.0</v>
      </c>
      <c r="H12" s="71" t="s">
        <v>57</v>
      </c>
      <c r="I12" s="69">
        <v>37956.0</v>
      </c>
      <c r="J12" s="71">
        <f t="shared" si="1"/>
        <v>6.1</v>
      </c>
      <c r="K12" s="72" t="s">
        <v>69</v>
      </c>
      <c r="L12" s="72">
        <v>60000.0</v>
      </c>
      <c r="M12" s="73">
        <v>5002.92</v>
      </c>
      <c r="N12" s="73">
        <v>0.0</v>
      </c>
      <c r="O12" s="73">
        <v>3554.0</v>
      </c>
      <c r="P12" s="73">
        <f t="shared" si="2"/>
        <v>24550.64</v>
      </c>
      <c r="Q12" s="73">
        <f t="shared" si="3"/>
        <v>33107.56</v>
      </c>
      <c r="R12" s="74">
        <f t="shared" si="4"/>
        <v>0.3915707794</v>
      </c>
      <c r="S12" s="74">
        <f t="shared" si="5"/>
        <v>0.6084292206</v>
      </c>
      <c r="T12" s="75"/>
      <c r="V12" s="76"/>
      <c r="W12" s="77"/>
      <c r="X12" s="77"/>
      <c r="Y12" s="77"/>
      <c r="Z12" s="77"/>
      <c r="AA12" s="77"/>
      <c r="AB12" s="78">
        <f t="shared" si="6"/>
        <v>0</v>
      </c>
      <c r="AC12" s="77"/>
      <c r="AD12" s="79"/>
      <c r="AE12" s="80"/>
      <c r="AF12" s="81"/>
      <c r="AG12" s="79"/>
      <c r="AH12" s="80"/>
      <c r="AI12" s="82"/>
      <c r="AJ12" s="82">
        <f t="shared" si="7"/>
        <v>0</v>
      </c>
      <c r="AK12" s="83"/>
      <c r="AL12" s="84">
        <f t="shared" si="8"/>
        <v>0</v>
      </c>
      <c r="AP12" s="85">
        <f t="shared" si="9"/>
        <v>0</v>
      </c>
      <c r="AQ12" s="20">
        <f t="shared" si="10"/>
        <v>1</v>
      </c>
      <c r="AR12" s="20">
        <f t="shared" si="11"/>
        <v>0</v>
      </c>
      <c r="AS12" s="86">
        <f t="shared" si="12"/>
        <v>0</v>
      </c>
      <c r="AT12" s="87">
        <f t="shared" si="13"/>
        <v>0</v>
      </c>
      <c r="AU12" s="88">
        <f t="shared" si="14"/>
        <v>0</v>
      </c>
      <c r="AV12" s="89" t="str">
        <f t="shared" si="15"/>
        <v>#VALUE!</v>
      </c>
      <c r="AW12" s="90">
        <f t="shared" si="16"/>
        <v>0</v>
      </c>
      <c r="AY12" s="85">
        <f t="shared" si="17"/>
        <v>1</v>
      </c>
      <c r="AZ12" s="20">
        <f t="shared" si="18"/>
        <v>1</v>
      </c>
      <c r="BA12" s="20">
        <f t="shared" si="19"/>
        <v>1</v>
      </c>
      <c r="BB12" s="91">
        <f t="shared" si="20"/>
        <v>3554</v>
      </c>
      <c r="BC12" s="87">
        <f t="shared" si="21"/>
        <v>84550.64</v>
      </c>
      <c r="BD12" s="92">
        <f t="shared" si="22"/>
        <v>6.1</v>
      </c>
      <c r="BE12" s="89" t="str">
        <f t="shared" si="23"/>
        <v>#VALUE!</v>
      </c>
      <c r="BF12" s="90" t="str">
        <f t="shared" si="24"/>
        <v>#VALUE!</v>
      </c>
      <c r="BH12" s="93">
        <f t="shared" si="25"/>
        <v>84550.64</v>
      </c>
      <c r="BI12" s="94">
        <f t="shared" si="26"/>
        <v>1</v>
      </c>
      <c r="BJ12" s="95" t="str">
        <f t="shared" si="27"/>
        <v>#VALUE!</v>
      </c>
      <c r="BK12" s="96" t="str">
        <f t="shared" si="28"/>
        <v>#VALUE!</v>
      </c>
      <c r="BM12" s="97">
        <f t="shared" si="29"/>
        <v>1</v>
      </c>
    </row>
    <row r="13" ht="12.75" customHeight="1">
      <c r="A13" s="65"/>
      <c r="B13" s="66" t="s">
        <v>70</v>
      </c>
      <c r="C13" s="67">
        <v>42453.13</v>
      </c>
      <c r="D13" s="68">
        <v>13.0</v>
      </c>
      <c r="E13" s="67">
        <v>42019.23</v>
      </c>
      <c r="F13" s="68" t="s">
        <v>56</v>
      </c>
      <c r="G13" s="69">
        <v>37834.0</v>
      </c>
      <c r="H13" s="71" t="s">
        <v>57</v>
      </c>
      <c r="I13" s="69">
        <v>38139.0</v>
      </c>
      <c r="J13" s="71">
        <f t="shared" si="1"/>
        <v>10.16666667</v>
      </c>
      <c r="K13" s="72" t="s">
        <v>71</v>
      </c>
      <c r="L13" s="72">
        <v>44519.23</v>
      </c>
      <c r="M13" s="73">
        <v>2588.95</v>
      </c>
      <c r="N13" s="73">
        <v>2389.0</v>
      </c>
      <c r="O13" s="73">
        <v>356.0</v>
      </c>
      <c r="P13" s="73">
        <f t="shared" si="2"/>
        <v>0</v>
      </c>
      <c r="Q13" s="73">
        <f t="shared" si="3"/>
        <v>2833.95</v>
      </c>
      <c r="R13" s="74">
        <f t="shared" si="4"/>
        <v>0.06744412023</v>
      </c>
      <c r="S13" s="74">
        <f t="shared" si="5"/>
        <v>0.9325558798</v>
      </c>
      <c r="T13" s="75"/>
      <c r="V13" s="76"/>
      <c r="W13" s="77"/>
      <c r="X13" s="77"/>
      <c r="Y13" s="77"/>
      <c r="Z13" s="77"/>
      <c r="AA13" s="77"/>
      <c r="AB13" s="78">
        <f t="shared" si="6"/>
        <v>0</v>
      </c>
      <c r="AC13" s="77"/>
      <c r="AD13" s="79"/>
      <c r="AE13" s="80"/>
      <c r="AF13" s="81"/>
      <c r="AG13" s="79"/>
      <c r="AH13" s="80"/>
      <c r="AI13" s="82"/>
      <c r="AJ13" s="82">
        <f t="shared" si="7"/>
        <v>0</v>
      </c>
      <c r="AK13" s="83"/>
      <c r="AL13" s="84">
        <f t="shared" si="8"/>
        <v>0</v>
      </c>
      <c r="AP13" s="85">
        <f t="shared" si="9"/>
        <v>1</v>
      </c>
      <c r="AQ13" s="20">
        <f t="shared" si="10"/>
        <v>1</v>
      </c>
      <c r="AR13" s="20">
        <f t="shared" si="11"/>
        <v>1</v>
      </c>
      <c r="AS13" s="86">
        <f t="shared" si="12"/>
        <v>2745</v>
      </c>
      <c r="AT13" s="87">
        <f t="shared" si="13"/>
        <v>42019.23</v>
      </c>
      <c r="AU13" s="88">
        <f t="shared" si="14"/>
        <v>10.16666667</v>
      </c>
      <c r="AV13" s="89" t="str">
        <f t="shared" si="15"/>
        <v>#VALUE!</v>
      </c>
      <c r="AW13" s="90" t="str">
        <f t="shared" si="16"/>
        <v>#VALUE!</v>
      </c>
      <c r="AY13" s="85">
        <f t="shared" si="17"/>
        <v>0</v>
      </c>
      <c r="AZ13" s="20">
        <f t="shared" si="18"/>
        <v>1</v>
      </c>
      <c r="BA13" s="20">
        <f t="shared" si="19"/>
        <v>0</v>
      </c>
      <c r="BB13" s="91">
        <f t="shared" si="20"/>
        <v>0</v>
      </c>
      <c r="BC13" s="87">
        <f t="shared" si="21"/>
        <v>0</v>
      </c>
      <c r="BD13" s="92">
        <f t="shared" si="22"/>
        <v>0</v>
      </c>
      <c r="BE13" s="89" t="str">
        <f t="shared" si="23"/>
        <v>#VALUE!</v>
      </c>
      <c r="BF13" s="90">
        <f t="shared" si="24"/>
        <v>0</v>
      </c>
      <c r="BH13" s="93">
        <f t="shared" si="25"/>
        <v>42019.23</v>
      </c>
      <c r="BI13" s="94">
        <f t="shared" si="26"/>
        <v>1</v>
      </c>
      <c r="BJ13" s="95" t="str">
        <f t="shared" si="27"/>
        <v>#VALUE!</v>
      </c>
      <c r="BK13" s="96" t="str">
        <f t="shared" si="28"/>
        <v>#VALUE!</v>
      </c>
      <c r="BM13" s="97">
        <f t="shared" si="29"/>
        <v>1</v>
      </c>
    </row>
    <row r="14" ht="12.75" customHeight="1">
      <c r="A14" s="65"/>
      <c r="B14" s="66" t="s">
        <v>72</v>
      </c>
      <c r="C14" s="67">
        <v>15385.25</v>
      </c>
      <c r="D14" s="68">
        <v>13.0</v>
      </c>
      <c r="E14" s="67">
        <v>15324.14</v>
      </c>
      <c r="F14" s="68" t="s">
        <v>64</v>
      </c>
      <c r="G14" s="69">
        <v>37865.0</v>
      </c>
      <c r="H14" s="71" t="s">
        <v>57</v>
      </c>
      <c r="I14" s="69">
        <v>37987.0</v>
      </c>
      <c r="J14" s="71">
        <f t="shared" si="1"/>
        <v>4.066666667</v>
      </c>
      <c r="K14" s="72" t="s">
        <v>73</v>
      </c>
      <c r="L14" s="72">
        <v>16195.0</v>
      </c>
      <c r="M14" s="73">
        <v>675.15</v>
      </c>
      <c r="N14" s="73">
        <v>0.0</v>
      </c>
      <c r="O14" s="73">
        <v>0.0</v>
      </c>
      <c r="P14" s="73">
        <f t="shared" si="2"/>
        <v>0</v>
      </c>
      <c r="Q14" s="73">
        <f t="shared" si="3"/>
        <v>0</v>
      </c>
      <c r="R14" s="74">
        <f t="shared" si="4"/>
        <v>0</v>
      </c>
      <c r="S14" s="74">
        <f t="shared" si="5"/>
        <v>1</v>
      </c>
      <c r="T14" s="75"/>
      <c r="V14" s="76"/>
      <c r="W14" s="77"/>
      <c r="X14" s="77"/>
      <c r="Y14" s="77"/>
      <c r="Z14" s="77"/>
      <c r="AA14" s="77"/>
      <c r="AB14" s="78">
        <f t="shared" si="6"/>
        <v>0</v>
      </c>
      <c r="AC14" s="77"/>
      <c r="AD14" s="79"/>
      <c r="AE14" s="80"/>
      <c r="AF14" s="81"/>
      <c r="AG14" s="79"/>
      <c r="AH14" s="80"/>
      <c r="AI14" s="82"/>
      <c r="AJ14" s="82">
        <f t="shared" si="7"/>
        <v>0</v>
      </c>
      <c r="AK14" s="83"/>
      <c r="AL14" s="84">
        <f t="shared" si="8"/>
        <v>0</v>
      </c>
      <c r="AP14" s="85">
        <f t="shared" si="9"/>
        <v>0</v>
      </c>
      <c r="AQ14" s="20">
        <f t="shared" si="10"/>
        <v>1</v>
      </c>
      <c r="AR14" s="20">
        <f t="shared" si="11"/>
        <v>0</v>
      </c>
      <c r="AS14" s="86">
        <f t="shared" si="12"/>
        <v>0</v>
      </c>
      <c r="AT14" s="87">
        <f t="shared" si="13"/>
        <v>0</v>
      </c>
      <c r="AU14" s="88">
        <f t="shared" si="14"/>
        <v>0</v>
      </c>
      <c r="AV14" s="89" t="str">
        <f t="shared" si="15"/>
        <v>#VALUE!</v>
      </c>
      <c r="AW14" s="90">
        <f t="shared" si="16"/>
        <v>0</v>
      </c>
      <c r="AY14" s="85">
        <f t="shared" si="17"/>
        <v>1</v>
      </c>
      <c r="AZ14" s="20">
        <f t="shared" si="18"/>
        <v>1</v>
      </c>
      <c r="BA14" s="20">
        <f t="shared" si="19"/>
        <v>1</v>
      </c>
      <c r="BB14" s="91">
        <f t="shared" si="20"/>
        <v>0</v>
      </c>
      <c r="BC14" s="87">
        <f t="shared" si="21"/>
        <v>15324.14</v>
      </c>
      <c r="BD14" s="92">
        <f t="shared" si="22"/>
        <v>4.066666667</v>
      </c>
      <c r="BE14" s="89" t="str">
        <f t="shared" si="23"/>
        <v>#VALUE!</v>
      </c>
      <c r="BF14" s="90" t="str">
        <f t="shared" si="24"/>
        <v>#VALUE!</v>
      </c>
      <c r="BH14" s="93">
        <f t="shared" si="25"/>
        <v>15324.14</v>
      </c>
      <c r="BI14" s="94">
        <f t="shared" si="26"/>
        <v>1</v>
      </c>
      <c r="BJ14" s="95" t="str">
        <f t="shared" si="27"/>
        <v>#VALUE!</v>
      </c>
      <c r="BK14" s="96" t="str">
        <f t="shared" si="28"/>
        <v>#VALUE!</v>
      </c>
      <c r="BM14" s="97">
        <f t="shared" si="29"/>
        <v>1</v>
      </c>
    </row>
    <row r="15" ht="12.75" customHeight="1">
      <c r="A15" s="65"/>
      <c r="B15" s="66" t="s">
        <v>74</v>
      </c>
      <c r="C15" s="67">
        <v>50575.0</v>
      </c>
      <c r="D15" s="68">
        <v>13.0</v>
      </c>
      <c r="E15" s="67">
        <v>48810.61</v>
      </c>
      <c r="F15" s="68" t="s">
        <v>56</v>
      </c>
      <c r="G15" s="69">
        <v>38078.0</v>
      </c>
      <c r="H15" s="71" t="s">
        <v>57</v>
      </c>
      <c r="I15" s="69">
        <v>38200.0</v>
      </c>
      <c r="J15" s="71">
        <f t="shared" si="1"/>
        <v>4.066666667</v>
      </c>
      <c r="K15" s="72" t="s">
        <v>75</v>
      </c>
      <c r="L15" s="72">
        <v>54366.0</v>
      </c>
      <c r="M15" s="73">
        <v>4224.0</v>
      </c>
      <c r="N15" s="73">
        <v>3398.0</v>
      </c>
      <c r="O15" s="73">
        <v>0.0</v>
      </c>
      <c r="P15" s="73">
        <f t="shared" si="2"/>
        <v>0</v>
      </c>
      <c r="Q15" s="73">
        <f t="shared" si="3"/>
        <v>2066.61</v>
      </c>
      <c r="R15" s="74">
        <f t="shared" si="4"/>
        <v>0.04233936023</v>
      </c>
      <c r="S15" s="74">
        <f t="shared" si="5"/>
        <v>0.9576606398</v>
      </c>
      <c r="T15" s="75"/>
      <c r="V15" s="76"/>
      <c r="W15" s="77"/>
      <c r="X15" s="77"/>
      <c r="Y15" s="77"/>
      <c r="Z15" s="77"/>
      <c r="AA15" s="77"/>
      <c r="AB15" s="78">
        <f t="shared" si="6"/>
        <v>0</v>
      </c>
      <c r="AC15" s="77"/>
      <c r="AD15" s="79"/>
      <c r="AE15" s="80"/>
      <c r="AF15" s="81"/>
      <c r="AG15" s="79"/>
      <c r="AH15" s="80"/>
      <c r="AI15" s="82"/>
      <c r="AJ15" s="82">
        <f t="shared" si="7"/>
        <v>0</v>
      </c>
      <c r="AK15" s="83"/>
      <c r="AL15" s="84">
        <f t="shared" si="8"/>
        <v>0</v>
      </c>
      <c r="AP15" s="85">
        <f t="shared" si="9"/>
        <v>1</v>
      </c>
      <c r="AQ15" s="20">
        <f t="shared" si="10"/>
        <v>1</v>
      </c>
      <c r="AR15" s="20">
        <f t="shared" si="11"/>
        <v>1</v>
      </c>
      <c r="AS15" s="86">
        <f t="shared" si="12"/>
        <v>3398</v>
      </c>
      <c r="AT15" s="87">
        <f t="shared" si="13"/>
        <v>48810.61</v>
      </c>
      <c r="AU15" s="88">
        <f t="shared" si="14"/>
        <v>4.066666667</v>
      </c>
      <c r="AV15" s="89" t="str">
        <f t="shared" si="15"/>
        <v>#VALUE!</v>
      </c>
      <c r="AW15" s="90" t="str">
        <f t="shared" si="16"/>
        <v>#VALUE!</v>
      </c>
      <c r="AY15" s="85">
        <f t="shared" si="17"/>
        <v>0</v>
      </c>
      <c r="AZ15" s="20">
        <f t="shared" si="18"/>
        <v>1</v>
      </c>
      <c r="BA15" s="20">
        <f t="shared" si="19"/>
        <v>0</v>
      </c>
      <c r="BB15" s="91">
        <f t="shared" si="20"/>
        <v>0</v>
      </c>
      <c r="BC15" s="87">
        <f t="shared" si="21"/>
        <v>0</v>
      </c>
      <c r="BD15" s="92">
        <f t="shared" si="22"/>
        <v>0</v>
      </c>
      <c r="BE15" s="89" t="str">
        <f t="shared" si="23"/>
        <v>#VALUE!</v>
      </c>
      <c r="BF15" s="90">
        <f t="shared" si="24"/>
        <v>0</v>
      </c>
      <c r="BH15" s="93">
        <f t="shared" si="25"/>
        <v>48810.61</v>
      </c>
      <c r="BI15" s="94">
        <f t="shared" si="26"/>
        <v>1</v>
      </c>
      <c r="BJ15" s="95" t="str">
        <f t="shared" si="27"/>
        <v>#VALUE!</v>
      </c>
      <c r="BK15" s="96" t="str">
        <f t="shared" si="28"/>
        <v>#VALUE!</v>
      </c>
      <c r="BM15" s="97">
        <f t="shared" si="29"/>
        <v>1</v>
      </c>
    </row>
    <row r="16" ht="12.75" customHeight="1">
      <c r="A16" s="65"/>
      <c r="B16" s="66" t="s">
        <v>76</v>
      </c>
      <c r="C16" s="67">
        <v>65000.0</v>
      </c>
      <c r="D16" s="68">
        <v>13.0</v>
      </c>
      <c r="E16" s="67">
        <v>64075.77</v>
      </c>
      <c r="F16" s="68" t="s">
        <v>56</v>
      </c>
      <c r="G16" s="69">
        <v>38078.0</v>
      </c>
      <c r="H16" s="71" t="s">
        <v>57</v>
      </c>
      <c r="I16" s="69">
        <v>38656.0</v>
      </c>
      <c r="J16" s="71">
        <f t="shared" si="1"/>
        <v>19.26666667</v>
      </c>
      <c r="K16" s="72" t="s">
        <v>69</v>
      </c>
      <c r="L16" s="72">
        <v>110000.0</v>
      </c>
      <c r="M16" s="73">
        <v>9562.0</v>
      </c>
      <c r="N16" s="73">
        <v>4600.0</v>
      </c>
      <c r="O16" s="73">
        <v>0.0</v>
      </c>
      <c r="P16" s="73">
        <f t="shared" si="2"/>
        <v>0</v>
      </c>
      <c r="Q16" s="73">
        <f t="shared" si="3"/>
        <v>0</v>
      </c>
      <c r="R16" s="74">
        <f t="shared" si="4"/>
        <v>0</v>
      </c>
      <c r="S16" s="74">
        <f t="shared" si="5"/>
        <v>1</v>
      </c>
      <c r="T16" s="75"/>
      <c r="V16" s="76"/>
      <c r="W16" s="77"/>
      <c r="X16" s="77"/>
      <c r="Y16" s="77"/>
      <c r="Z16" s="77"/>
      <c r="AA16" s="77"/>
      <c r="AB16" s="78">
        <f t="shared" si="6"/>
        <v>0</v>
      </c>
      <c r="AC16" s="77"/>
      <c r="AD16" s="79"/>
      <c r="AE16" s="80"/>
      <c r="AF16" s="81"/>
      <c r="AG16" s="79"/>
      <c r="AH16" s="80"/>
      <c r="AI16" s="82"/>
      <c r="AJ16" s="82">
        <f t="shared" si="7"/>
        <v>0</v>
      </c>
      <c r="AK16" s="83"/>
      <c r="AL16" s="84">
        <f t="shared" si="8"/>
        <v>0</v>
      </c>
      <c r="AP16" s="85">
        <f t="shared" si="9"/>
        <v>1</v>
      </c>
      <c r="AQ16" s="20">
        <f t="shared" si="10"/>
        <v>1</v>
      </c>
      <c r="AR16" s="20">
        <f t="shared" si="11"/>
        <v>1</v>
      </c>
      <c r="AS16" s="86">
        <f t="shared" si="12"/>
        <v>4600</v>
      </c>
      <c r="AT16" s="87">
        <f t="shared" si="13"/>
        <v>64075.77</v>
      </c>
      <c r="AU16" s="88">
        <f t="shared" si="14"/>
        <v>19.26666667</v>
      </c>
      <c r="AV16" s="89" t="str">
        <f t="shared" si="15"/>
        <v>#VALUE!</v>
      </c>
      <c r="AW16" s="90" t="str">
        <f t="shared" si="16"/>
        <v>#VALUE!</v>
      </c>
      <c r="AY16" s="85">
        <f t="shared" si="17"/>
        <v>0</v>
      </c>
      <c r="AZ16" s="20">
        <f t="shared" si="18"/>
        <v>1</v>
      </c>
      <c r="BA16" s="20">
        <f t="shared" si="19"/>
        <v>0</v>
      </c>
      <c r="BB16" s="91">
        <f t="shared" si="20"/>
        <v>0</v>
      </c>
      <c r="BC16" s="87">
        <f t="shared" si="21"/>
        <v>0</v>
      </c>
      <c r="BD16" s="92">
        <f t="shared" si="22"/>
        <v>0</v>
      </c>
      <c r="BE16" s="89" t="str">
        <f t="shared" si="23"/>
        <v>#VALUE!</v>
      </c>
      <c r="BF16" s="90">
        <f t="shared" si="24"/>
        <v>0</v>
      </c>
      <c r="BH16" s="93">
        <f t="shared" si="25"/>
        <v>64075.77</v>
      </c>
      <c r="BI16" s="94">
        <f t="shared" si="26"/>
        <v>1</v>
      </c>
      <c r="BJ16" s="95" t="str">
        <f t="shared" si="27"/>
        <v>#VALUE!</v>
      </c>
      <c r="BK16" s="96" t="str">
        <f t="shared" si="28"/>
        <v>#VALUE!</v>
      </c>
      <c r="BM16" s="97">
        <f t="shared" si="29"/>
        <v>1</v>
      </c>
    </row>
    <row r="17" ht="12.75" customHeight="1">
      <c r="A17" s="65"/>
      <c r="B17" s="66" t="s">
        <v>77</v>
      </c>
      <c r="C17" s="67">
        <v>97500.0</v>
      </c>
      <c r="D17" s="68">
        <v>12.0</v>
      </c>
      <c r="E17" s="67">
        <f>29519.14+66282.22</f>
        <v>95801.36</v>
      </c>
      <c r="F17" s="68" t="s">
        <v>64</v>
      </c>
      <c r="G17" s="69">
        <v>38108.0</v>
      </c>
      <c r="H17" s="71" t="s">
        <v>57</v>
      </c>
      <c r="I17" s="69">
        <v>38322.0</v>
      </c>
      <c r="J17" s="71">
        <f t="shared" si="1"/>
        <v>7.133333333</v>
      </c>
      <c r="K17" s="72" t="s">
        <v>69</v>
      </c>
      <c r="L17" s="72">
        <v>80000.0</v>
      </c>
      <c r="M17" s="73">
        <v>4064.0</v>
      </c>
      <c r="N17" s="73">
        <v>0.0</v>
      </c>
      <c r="O17" s="73">
        <v>0.0</v>
      </c>
      <c r="P17" s="73">
        <f t="shared" si="2"/>
        <v>15801.36</v>
      </c>
      <c r="Q17" s="73">
        <f t="shared" si="3"/>
        <v>19865.36</v>
      </c>
      <c r="R17" s="74">
        <f t="shared" si="4"/>
        <v>0.2073598955</v>
      </c>
      <c r="S17" s="74">
        <f t="shared" si="5"/>
        <v>0.7926401045</v>
      </c>
      <c r="T17" s="75"/>
      <c r="V17" s="76"/>
      <c r="W17" s="77"/>
      <c r="X17" s="77"/>
      <c r="Y17" s="77"/>
      <c r="Z17" s="77"/>
      <c r="AA17" s="77"/>
      <c r="AB17" s="78">
        <f t="shared" si="6"/>
        <v>0</v>
      </c>
      <c r="AC17" s="77"/>
      <c r="AD17" s="79"/>
      <c r="AE17" s="80"/>
      <c r="AF17" s="81"/>
      <c r="AG17" s="79"/>
      <c r="AH17" s="80"/>
      <c r="AI17" s="82"/>
      <c r="AJ17" s="82">
        <f t="shared" si="7"/>
        <v>0</v>
      </c>
      <c r="AK17" s="83"/>
      <c r="AL17" s="84">
        <f t="shared" si="8"/>
        <v>0</v>
      </c>
      <c r="AP17" s="85">
        <f t="shared" si="9"/>
        <v>0</v>
      </c>
      <c r="AQ17" s="20">
        <f t="shared" si="10"/>
        <v>1</v>
      </c>
      <c r="AR17" s="20">
        <f t="shared" si="11"/>
        <v>0</v>
      </c>
      <c r="AS17" s="86">
        <f t="shared" si="12"/>
        <v>0</v>
      </c>
      <c r="AT17" s="87">
        <f t="shared" si="13"/>
        <v>0</v>
      </c>
      <c r="AU17" s="88">
        <f t="shared" si="14"/>
        <v>0</v>
      </c>
      <c r="AV17" s="89" t="str">
        <f t="shared" si="15"/>
        <v>#VALUE!</v>
      </c>
      <c r="AW17" s="90">
        <f t="shared" si="16"/>
        <v>0</v>
      </c>
      <c r="AY17" s="85">
        <f t="shared" si="17"/>
        <v>1</v>
      </c>
      <c r="AZ17" s="20">
        <f t="shared" si="18"/>
        <v>1</v>
      </c>
      <c r="BA17" s="20">
        <f t="shared" si="19"/>
        <v>1</v>
      </c>
      <c r="BB17" s="91">
        <f t="shared" si="20"/>
        <v>0</v>
      </c>
      <c r="BC17" s="87">
        <f t="shared" si="21"/>
        <v>95801.36</v>
      </c>
      <c r="BD17" s="92">
        <f t="shared" si="22"/>
        <v>7.133333333</v>
      </c>
      <c r="BE17" s="89" t="str">
        <f t="shared" si="23"/>
        <v>#VALUE!</v>
      </c>
      <c r="BF17" s="90" t="str">
        <f t="shared" si="24"/>
        <v>#VALUE!</v>
      </c>
      <c r="BH17" s="93">
        <f t="shared" si="25"/>
        <v>95801.36</v>
      </c>
      <c r="BI17" s="94">
        <f t="shared" si="26"/>
        <v>1</v>
      </c>
      <c r="BJ17" s="95" t="str">
        <f t="shared" si="27"/>
        <v>#VALUE!</v>
      </c>
      <c r="BK17" s="96" t="str">
        <f t="shared" si="28"/>
        <v>#VALUE!</v>
      </c>
      <c r="BM17" s="97">
        <f t="shared" si="29"/>
        <v>1</v>
      </c>
    </row>
    <row r="18" ht="12.75" customHeight="1">
      <c r="A18" s="65"/>
      <c r="B18" s="66" t="s">
        <v>78</v>
      </c>
      <c r="C18" s="67">
        <v>21650.5</v>
      </c>
      <c r="D18" s="68">
        <v>13.0</v>
      </c>
      <c r="E18" s="67">
        <v>21574.19</v>
      </c>
      <c r="F18" s="68" t="s">
        <v>64</v>
      </c>
      <c r="G18" s="69">
        <v>38169.0</v>
      </c>
      <c r="H18" s="71" t="s">
        <v>57</v>
      </c>
      <c r="I18" s="69">
        <v>38322.0</v>
      </c>
      <c r="J18" s="71">
        <f t="shared" si="1"/>
        <v>5.1</v>
      </c>
      <c r="K18" s="72" t="s">
        <v>79</v>
      </c>
      <c r="L18" s="72">
        <v>22790.0</v>
      </c>
      <c r="M18" s="73">
        <v>1314.69</v>
      </c>
      <c r="N18" s="73">
        <v>0.0</v>
      </c>
      <c r="O18" s="73">
        <v>0.0</v>
      </c>
      <c r="P18" s="73">
        <f t="shared" si="2"/>
        <v>0</v>
      </c>
      <c r="Q18" s="73">
        <f t="shared" si="3"/>
        <v>98.88</v>
      </c>
      <c r="R18" s="74">
        <f t="shared" si="4"/>
        <v>0.004583254342</v>
      </c>
      <c r="S18" s="74">
        <f t="shared" si="5"/>
        <v>0.9954167457</v>
      </c>
      <c r="T18" s="75"/>
      <c r="V18" s="76"/>
      <c r="W18" s="77"/>
      <c r="X18" s="77"/>
      <c r="Y18" s="77"/>
      <c r="Z18" s="77"/>
      <c r="AA18" s="77"/>
      <c r="AB18" s="78">
        <f t="shared" si="6"/>
        <v>0</v>
      </c>
      <c r="AC18" s="77"/>
      <c r="AD18" s="79"/>
      <c r="AE18" s="80"/>
      <c r="AF18" s="81"/>
      <c r="AG18" s="79"/>
      <c r="AH18" s="80"/>
      <c r="AI18" s="82"/>
      <c r="AJ18" s="82">
        <f t="shared" si="7"/>
        <v>0</v>
      </c>
      <c r="AK18" s="83"/>
      <c r="AL18" s="84">
        <f t="shared" si="8"/>
        <v>0</v>
      </c>
      <c r="AP18" s="85">
        <f t="shared" si="9"/>
        <v>0</v>
      </c>
      <c r="AQ18" s="20">
        <f t="shared" si="10"/>
        <v>1</v>
      </c>
      <c r="AR18" s="20">
        <f t="shared" si="11"/>
        <v>0</v>
      </c>
      <c r="AS18" s="86">
        <f t="shared" si="12"/>
        <v>0</v>
      </c>
      <c r="AT18" s="87">
        <f t="shared" si="13"/>
        <v>0</v>
      </c>
      <c r="AU18" s="88">
        <f t="shared" si="14"/>
        <v>0</v>
      </c>
      <c r="AV18" s="89" t="str">
        <f t="shared" si="15"/>
        <v>#VALUE!</v>
      </c>
      <c r="AW18" s="90">
        <f t="shared" si="16"/>
        <v>0</v>
      </c>
      <c r="AY18" s="85">
        <f t="shared" si="17"/>
        <v>1</v>
      </c>
      <c r="AZ18" s="20">
        <f t="shared" si="18"/>
        <v>1</v>
      </c>
      <c r="BA18" s="20">
        <f t="shared" si="19"/>
        <v>1</v>
      </c>
      <c r="BB18" s="91">
        <f t="shared" si="20"/>
        <v>0</v>
      </c>
      <c r="BC18" s="87">
        <f t="shared" si="21"/>
        <v>21574.19</v>
      </c>
      <c r="BD18" s="92">
        <f t="shared" si="22"/>
        <v>5.1</v>
      </c>
      <c r="BE18" s="89" t="str">
        <f t="shared" si="23"/>
        <v>#VALUE!</v>
      </c>
      <c r="BF18" s="90" t="str">
        <f t="shared" si="24"/>
        <v>#VALUE!</v>
      </c>
      <c r="BH18" s="93">
        <f t="shared" si="25"/>
        <v>21574.19</v>
      </c>
      <c r="BI18" s="94">
        <f t="shared" si="26"/>
        <v>1</v>
      </c>
      <c r="BJ18" s="95" t="str">
        <f t="shared" si="27"/>
        <v>#VALUE!</v>
      </c>
      <c r="BK18" s="96" t="str">
        <f t="shared" si="28"/>
        <v>#VALUE!</v>
      </c>
      <c r="BM18" s="97">
        <f t="shared" si="29"/>
        <v>1</v>
      </c>
    </row>
    <row r="19" ht="12.75" customHeight="1">
      <c r="A19" s="65"/>
      <c r="B19" s="66" t="s">
        <v>80</v>
      </c>
      <c r="C19" s="67">
        <v>55005.0</v>
      </c>
      <c r="D19" s="68">
        <v>13.0</v>
      </c>
      <c r="E19" s="67">
        <v>47738.19</v>
      </c>
      <c r="F19" s="68" t="s">
        <v>64</v>
      </c>
      <c r="G19" s="69">
        <v>38231.0</v>
      </c>
      <c r="H19" s="70" t="s">
        <v>57</v>
      </c>
      <c r="I19" s="69">
        <v>38384.0</v>
      </c>
      <c r="J19" s="71">
        <f t="shared" si="1"/>
        <v>5.1</v>
      </c>
      <c r="K19" s="72" t="s">
        <v>81</v>
      </c>
      <c r="L19" s="72">
        <v>48665.990000000005</v>
      </c>
      <c r="M19" s="73">
        <v>1357.8</v>
      </c>
      <c r="N19" s="73">
        <v>0.0</v>
      </c>
      <c r="O19" s="73">
        <v>0.0</v>
      </c>
      <c r="P19" s="73">
        <f t="shared" si="2"/>
        <v>0</v>
      </c>
      <c r="Q19" s="73">
        <f t="shared" si="3"/>
        <v>430</v>
      </c>
      <c r="R19" s="74">
        <f t="shared" si="4"/>
        <v>0.009007463417</v>
      </c>
      <c r="S19" s="74">
        <f t="shared" si="5"/>
        <v>0.9909925366</v>
      </c>
      <c r="T19" s="75"/>
      <c r="V19" s="76"/>
      <c r="W19" s="77"/>
      <c r="X19" s="77"/>
      <c r="Y19" s="77"/>
      <c r="Z19" s="77"/>
      <c r="AA19" s="77"/>
      <c r="AB19" s="78">
        <f t="shared" si="6"/>
        <v>0</v>
      </c>
      <c r="AC19" s="77"/>
      <c r="AD19" s="79"/>
      <c r="AE19" s="80"/>
      <c r="AF19" s="81"/>
      <c r="AG19" s="79"/>
      <c r="AH19" s="80"/>
      <c r="AI19" s="82"/>
      <c r="AJ19" s="82">
        <f t="shared" si="7"/>
        <v>0</v>
      </c>
      <c r="AK19" s="83"/>
      <c r="AL19" s="84">
        <f t="shared" si="8"/>
        <v>0</v>
      </c>
      <c r="AP19" s="85">
        <f t="shared" si="9"/>
        <v>0</v>
      </c>
      <c r="AQ19" s="20">
        <f t="shared" si="10"/>
        <v>1</v>
      </c>
      <c r="AR19" s="20">
        <f t="shared" si="11"/>
        <v>0</v>
      </c>
      <c r="AS19" s="86">
        <f t="shared" si="12"/>
        <v>0</v>
      </c>
      <c r="AT19" s="87">
        <f t="shared" si="13"/>
        <v>0</v>
      </c>
      <c r="AU19" s="88">
        <f t="shared" si="14"/>
        <v>0</v>
      </c>
      <c r="AV19" s="89" t="str">
        <f t="shared" si="15"/>
        <v>#VALUE!</v>
      </c>
      <c r="AW19" s="90">
        <f t="shared" si="16"/>
        <v>0</v>
      </c>
      <c r="AY19" s="85">
        <f t="shared" si="17"/>
        <v>1</v>
      </c>
      <c r="AZ19" s="20">
        <f t="shared" si="18"/>
        <v>1</v>
      </c>
      <c r="BA19" s="20">
        <f t="shared" si="19"/>
        <v>1</v>
      </c>
      <c r="BB19" s="91">
        <f t="shared" si="20"/>
        <v>0</v>
      </c>
      <c r="BC19" s="87">
        <f t="shared" si="21"/>
        <v>47738.19</v>
      </c>
      <c r="BD19" s="92">
        <f t="shared" si="22"/>
        <v>5.1</v>
      </c>
      <c r="BE19" s="89" t="str">
        <f t="shared" si="23"/>
        <v>#VALUE!</v>
      </c>
      <c r="BF19" s="90" t="str">
        <f t="shared" si="24"/>
        <v>#VALUE!</v>
      </c>
      <c r="BH19" s="93">
        <f t="shared" si="25"/>
        <v>47738.19</v>
      </c>
      <c r="BI19" s="94">
        <f t="shared" si="26"/>
        <v>1</v>
      </c>
      <c r="BJ19" s="95" t="str">
        <f t="shared" si="27"/>
        <v>#VALUE!</v>
      </c>
      <c r="BK19" s="96" t="str">
        <f t="shared" si="28"/>
        <v>#VALUE!</v>
      </c>
      <c r="BM19" s="97">
        <f t="shared" si="29"/>
        <v>1</v>
      </c>
    </row>
    <row r="20" ht="12.75" customHeight="1">
      <c r="A20" s="65"/>
      <c r="B20" s="66" t="s">
        <v>82</v>
      </c>
      <c r="C20" s="67">
        <v>34190.5</v>
      </c>
      <c r="D20" s="68">
        <v>10.0</v>
      </c>
      <c r="E20" s="67">
        <v>32818.31</v>
      </c>
      <c r="F20" s="68" t="s">
        <v>64</v>
      </c>
      <c r="G20" s="69">
        <v>38333.0</v>
      </c>
      <c r="H20" s="71" t="s">
        <v>57</v>
      </c>
      <c r="I20" s="69">
        <v>38473.0</v>
      </c>
      <c r="J20" s="71">
        <f t="shared" si="1"/>
        <v>4.666666667</v>
      </c>
      <c r="K20" s="72" t="s">
        <v>83</v>
      </c>
      <c r="L20" s="72">
        <v>34839.0</v>
      </c>
      <c r="M20" s="73">
        <v>1801.59</v>
      </c>
      <c r="N20" s="73">
        <v>217.0</v>
      </c>
      <c r="O20" s="73">
        <v>0.0</v>
      </c>
      <c r="P20" s="73">
        <f t="shared" si="2"/>
        <v>0</v>
      </c>
      <c r="Q20" s="73">
        <f t="shared" si="3"/>
        <v>0</v>
      </c>
      <c r="R20" s="74">
        <f t="shared" si="4"/>
        <v>0</v>
      </c>
      <c r="S20" s="74">
        <f t="shared" si="5"/>
        <v>1</v>
      </c>
      <c r="T20" s="75"/>
      <c r="V20" s="76"/>
      <c r="W20" s="77"/>
      <c r="X20" s="77"/>
      <c r="Y20" s="77"/>
      <c r="Z20" s="77"/>
      <c r="AA20" s="77"/>
      <c r="AB20" s="78">
        <f t="shared" si="6"/>
        <v>0</v>
      </c>
      <c r="AC20" s="77"/>
      <c r="AD20" s="79"/>
      <c r="AE20" s="80"/>
      <c r="AF20" s="81"/>
      <c r="AG20" s="79"/>
      <c r="AH20" s="80"/>
      <c r="AI20" s="82"/>
      <c r="AJ20" s="82">
        <f t="shared" si="7"/>
        <v>0</v>
      </c>
      <c r="AK20" s="83"/>
      <c r="AL20" s="84">
        <f t="shared" si="8"/>
        <v>0</v>
      </c>
      <c r="AP20" s="85">
        <f t="shared" si="9"/>
        <v>0</v>
      </c>
      <c r="AQ20" s="20">
        <f t="shared" si="10"/>
        <v>1</v>
      </c>
      <c r="AR20" s="20">
        <f t="shared" si="11"/>
        <v>0</v>
      </c>
      <c r="AS20" s="86">
        <f t="shared" si="12"/>
        <v>0</v>
      </c>
      <c r="AT20" s="87">
        <f t="shared" si="13"/>
        <v>0</v>
      </c>
      <c r="AU20" s="88">
        <f t="shared" si="14"/>
        <v>0</v>
      </c>
      <c r="AV20" s="89" t="str">
        <f t="shared" si="15"/>
        <v>#VALUE!</v>
      </c>
      <c r="AW20" s="90">
        <f t="shared" si="16"/>
        <v>0</v>
      </c>
      <c r="AY20" s="85">
        <f t="shared" si="17"/>
        <v>1</v>
      </c>
      <c r="AZ20" s="20">
        <f t="shared" si="18"/>
        <v>1</v>
      </c>
      <c r="BA20" s="20">
        <f t="shared" si="19"/>
        <v>1</v>
      </c>
      <c r="BB20" s="91">
        <f t="shared" si="20"/>
        <v>217</v>
      </c>
      <c r="BC20" s="87">
        <f t="shared" si="21"/>
        <v>32818.31</v>
      </c>
      <c r="BD20" s="92">
        <f t="shared" si="22"/>
        <v>4.666666667</v>
      </c>
      <c r="BE20" s="89" t="str">
        <f t="shared" si="23"/>
        <v>#VALUE!</v>
      </c>
      <c r="BF20" s="90" t="str">
        <f t="shared" si="24"/>
        <v>#VALUE!</v>
      </c>
      <c r="BH20" s="93">
        <f t="shared" si="25"/>
        <v>32818.31</v>
      </c>
      <c r="BI20" s="94">
        <f t="shared" si="26"/>
        <v>1</v>
      </c>
      <c r="BJ20" s="95" t="str">
        <f t="shared" si="27"/>
        <v>#VALUE!</v>
      </c>
      <c r="BK20" s="96" t="str">
        <f t="shared" si="28"/>
        <v>#VALUE!</v>
      </c>
      <c r="BM20" s="97">
        <f t="shared" si="29"/>
        <v>1</v>
      </c>
    </row>
    <row r="21" ht="12.75" customHeight="1">
      <c r="A21" s="65"/>
      <c r="B21" s="66" t="s">
        <v>84</v>
      </c>
      <c r="C21" s="67">
        <v>60140.0</v>
      </c>
      <c r="D21" s="68">
        <v>13.0</v>
      </c>
      <c r="E21" s="67">
        <v>58657.3</v>
      </c>
      <c r="F21" s="68" t="s">
        <v>64</v>
      </c>
      <c r="G21" s="69">
        <v>38384.0</v>
      </c>
      <c r="H21" s="71" t="s">
        <v>57</v>
      </c>
      <c r="I21" s="69">
        <v>38626.0</v>
      </c>
      <c r="J21" s="71">
        <f t="shared" si="1"/>
        <v>8.066666667</v>
      </c>
      <c r="K21" s="72" t="s">
        <v>85</v>
      </c>
      <c r="L21" s="72">
        <v>62000.3</v>
      </c>
      <c r="M21" s="73">
        <v>1931.0</v>
      </c>
      <c r="N21" s="73">
        <v>0.0</v>
      </c>
      <c r="O21" s="73">
        <v>1400.0</v>
      </c>
      <c r="P21" s="73">
        <f t="shared" si="2"/>
        <v>0</v>
      </c>
      <c r="Q21" s="73">
        <f t="shared" si="3"/>
        <v>0</v>
      </c>
      <c r="R21" s="74">
        <f t="shared" si="4"/>
        <v>0</v>
      </c>
      <c r="S21" s="74">
        <f t="shared" si="5"/>
        <v>1</v>
      </c>
      <c r="T21" s="75"/>
      <c r="V21" s="76"/>
      <c r="W21" s="77"/>
      <c r="X21" s="77"/>
      <c r="Y21" s="77"/>
      <c r="Z21" s="77"/>
      <c r="AA21" s="77"/>
      <c r="AB21" s="78">
        <f t="shared" si="6"/>
        <v>0</v>
      </c>
      <c r="AC21" s="77"/>
      <c r="AD21" s="79"/>
      <c r="AE21" s="80"/>
      <c r="AF21" s="81"/>
      <c r="AG21" s="79"/>
      <c r="AH21" s="80"/>
      <c r="AI21" s="82"/>
      <c r="AJ21" s="82">
        <f t="shared" si="7"/>
        <v>0</v>
      </c>
      <c r="AK21" s="83"/>
      <c r="AL21" s="84">
        <f t="shared" si="8"/>
        <v>0</v>
      </c>
      <c r="AP21" s="85">
        <f t="shared" si="9"/>
        <v>0</v>
      </c>
      <c r="AQ21" s="20">
        <f t="shared" si="10"/>
        <v>1</v>
      </c>
      <c r="AR21" s="20">
        <f t="shared" si="11"/>
        <v>0</v>
      </c>
      <c r="AS21" s="86">
        <f t="shared" si="12"/>
        <v>0</v>
      </c>
      <c r="AT21" s="87">
        <f t="shared" si="13"/>
        <v>0</v>
      </c>
      <c r="AU21" s="88">
        <f t="shared" si="14"/>
        <v>0</v>
      </c>
      <c r="AV21" s="89" t="str">
        <f t="shared" si="15"/>
        <v>#VALUE!</v>
      </c>
      <c r="AW21" s="90">
        <f t="shared" si="16"/>
        <v>0</v>
      </c>
      <c r="AY21" s="85">
        <f t="shared" si="17"/>
        <v>1</v>
      </c>
      <c r="AZ21" s="20">
        <f t="shared" si="18"/>
        <v>1</v>
      </c>
      <c r="BA21" s="20">
        <f t="shared" si="19"/>
        <v>1</v>
      </c>
      <c r="BB21" s="91">
        <f t="shared" si="20"/>
        <v>1400</v>
      </c>
      <c r="BC21" s="87">
        <f t="shared" si="21"/>
        <v>58657.3</v>
      </c>
      <c r="BD21" s="92">
        <f t="shared" si="22"/>
        <v>8.066666667</v>
      </c>
      <c r="BE21" s="89" t="str">
        <f t="shared" si="23"/>
        <v>#VALUE!</v>
      </c>
      <c r="BF21" s="90" t="str">
        <f t="shared" si="24"/>
        <v>#VALUE!</v>
      </c>
      <c r="BH21" s="93">
        <f t="shared" si="25"/>
        <v>58657.3</v>
      </c>
      <c r="BI21" s="94">
        <f t="shared" si="26"/>
        <v>1</v>
      </c>
      <c r="BJ21" s="95" t="str">
        <f t="shared" si="27"/>
        <v>#VALUE!</v>
      </c>
      <c r="BK21" s="96" t="str">
        <f t="shared" si="28"/>
        <v>#VALUE!</v>
      </c>
      <c r="BM21" s="97">
        <f t="shared" si="29"/>
        <v>1</v>
      </c>
    </row>
    <row r="22" ht="12.75" customHeight="1">
      <c r="A22" s="65"/>
      <c r="B22" s="66" t="s">
        <v>86</v>
      </c>
      <c r="C22" s="67">
        <v>39950.0</v>
      </c>
      <c r="D22" s="68">
        <v>10.0</v>
      </c>
      <c r="E22" s="67">
        <v>38393.07</v>
      </c>
      <c r="F22" s="68" t="s">
        <v>56</v>
      </c>
      <c r="G22" s="69">
        <v>38412.0</v>
      </c>
      <c r="H22" s="71" t="s">
        <v>57</v>
      </c>
      <c r="I22" s="69">
        <v>38443.0</v>
      </c>
      <c r="J22" s="71">
        <f t="shared" si="1"/>
        <v>1.033333333</v>
      </c>
      <c r="K22" s="72" t="s">
        <v>87</v>
      </c>
      <c r="L22" s="72">
        <v>42392.07</v>
      </c>
      <c r="M22" s="73">
        <v>1889.0</v>
      </c>
      <c r="N22" s="73">
        <v>2680.0</v>
      </c>
      <c r="O22" s="73">
        <v>6023.0</v>
      </c>
      <c r="P22" s="73">
        <f t="shared" si="2"/>
        <v>0</v>
      </c>
      <c r="Q22" s="73">
        <f t="shared" si="3"/>
        <v>6593</v>
      </c>
      <c r="R22" s="74">
        <f t="shared" si="4"/>
        <v>0.1717236991</v>
      </c>
      <c r="S22" s="74">
        <f t="shared" si="5"/>
        <v>0.8282763009</v>
      </c>
      <c r="T22" s="75"/>
      <c r="V22" s="76"/>
      <c r="W22" s="77"/>
      <c r="X22" s="77"/>
      <c r="Y22" s="77"/>
      <c r="Z22" s="77"/>
      <c r="AA22" s="77"/>
      <c r="AB22" s="78">
        <f t="shared" si="6"/>
        <v>0</v>
      </c>
      <c r="AC22" s="77"/>
      <c r="AD22" s="79"/>
      <c r="AE22" s="80"/>
      <c r="AF22" s="81"/>
      <c r="AG22" s="79"/>
      <c r="AH22" s="80"/>
      <c r="AI22" s="82"/>
      <c r="AJ22" s="82">
        <f t="shared" si="7"/>
        <v>0</v>
      </c>
      <c r="AK22" s="83"/>
      <c r="AL22" s="84">
        <f t="shared" si="8"/>
        <v>0</v>
      </c>
      <c r="AP22" s="85">
        <f t="shared" si="9"/>
        <v>1</v>
      </c>
      <c r="AQ22" s="20">
        <f t="shared" si="10"/>
        <v>1</v>
      </c>
      <c r="AR22" s="20">
        <f t="shared" si="11"/>
        <v>1</v>
      </c>
      <c r="AS22" s="86">
        <f t="shared" si="12"/>
        <v>8703</v>
      </c>
      <c r="AT22" s="87">
        <f t="shared" si="13"/>
        <v>38393.07</v>
      </c>
      <c r="AU22" s="88">
        <f t="shared" si="14"/>
        <v>1.033333333</v>
      </c>
      <c r="AV22" s="89" t="str">
        <f t="shared" si="15"/>
        <v>#VALUE!</v>
      </c>
      <c r="AW22" s="90" t="str">
        <f t="shared" si="16"/>
        <v>#VALUE!</v>
      </c>
      <c r="AY22" s="85">
        <f t="shared" si="17"/>
        <v>0</v>
      </c>
      <c r="AZ22" s="20">
        <f t="shared" si="18"/>
        <v>1</v>
      </c>
      <c r="BA22" s="20">
        <f t="shared" si="19"/>
        <v>0</v>
      </c>
      <c r="BB22" s="91">
        <f t="shared" si="20"/>
        <v>0</v>
      </c>
      <c r="BC22" s="87">
        <f t="shared" si="21"/>
        <v>0</v>
      </c>
      <c r="BD22" s="92">
        <f t="shared" si="22"/>
        <v>0</v>
      </c>
      <c r="BE22" s="89" t="str">
        <f t="shared" si="23"/>
        <v>#VALUE!</v>
      </c>
      <c r="BF22" s="90">
        <f t="shared" si="24"/>
        <v>0</v>
      </c>
      <c r="BH22" s="93">
        <f t="shared" si="25"/>
        <v>38393.07</v>
      </c>
      <c r="BI22" s="94">
        <f t="shared" si="26"/>
        <v>1</v>
      </c>
      <c r="BJ22" s="95" t="str">
        <f t="shared" si="27"/>
        <v>#VALUE!</v>
      </c>
      <c r="BK22" s="96" t="str">
        <f t="shared" si="28"/>
        <v>#VALUE!</v>
      </c>
      <c r="BM22" s="97">
        <f t="shared" si="29"/>
        <v>1</v>
      </c>
    </row>
    <row r="23" ht="12.75" customHeight="1">
      <c r="A23" s="65"/>
      <c r="B23" s="66" t="s">
        <v>88</v>
      </c>
      <c r="C23" s="67">
        <v>15385.25</v>
      </c>
      <c r="D23" s="68">
        <v>13.0</v>
      </c>
      <c r="E23" s="67">
        <v>14672.88</v>
      </c>
      <c r="F23" s="68" t="s">
        <v>64</v>
      </c>
      <c r="G23" s="69">
        <v>38443.0</v>
      </c>
      <c r="H23" s="71" t="s">
        <v>57</v>
      </c>
      <c r="I23" s="69">
        <v>38899.0</v>
      </c>
      <c r="J23" s="71">
        <f t="shared" si="1"/>
        <v>15.2</v>
      </c>
      <c r="K23" s="72" t="s">
        <v>89</v>
      </c>
      <c r="L23" s="72">
        <v>15522.0</v>
      </c>
      <c r="M23" s="73">
        <v>366.61</v>
      </c>
      <c r="N23" s="73">
        <v>0.0</v>
      </c>
      <c r="O23" s="73">
        <v>376.0</v>
      </c>
      <c r="P23" s="73">
        <f t="shared" si="2"/>
        <v>0</v>
      </c>
      <c r="Q23" s="73">
        <f t="shared" si="3"/>
        <v>0</v>
      </c>
      <c r="R23" s="74">
        <f t="shared" si="4"/>
        <v>0</v>
      </c>
      <c r="S23" s="74">
        <f t="shared" si="5"/>
        <v>1</v>
      </c>
      <c r="T23" s="75"/>
      <c r="V23" s="76"/>
      <c r="W23" s="77"/>
      <c r="X23" s="77"/>
      <c r="Y23" s="77"/>
      <c r="Z23" s="77"/>
      <c r="AA23" s="77"/>
      <c r="AB23" s="78">
        <f t="shared" si="6"/>
        <v>0</v>
      </c>
      <c r="AC23" s="77"/>
      <c r="AD23" s="79"/>
      <c r="AE23" s="80"/>
      <c r="AF23" s="81"/>
      <c r="AG23" s="79"/>
      <c r="AH23" s="80"/>
      <c r="AI23" s="82"/>
      <c r="AJ23" s="82">
        <f t="shared" si="7"/>
        <v>0</v>
      </c>
      <c r="AK23" s="83"/>
      <c r="AL23" s="84">
        <f t="shared" si="8"/>
        <v>0</v>
      </c>
      <c r="AP23" s="85">
        <f t="shared" si="9"/>
        <v>0</v>
      </c>
      <c r="AQ23" s="20">
        <f t="shared" si="10"/>
        <v>1</v>
      </c>
      <c r="AR23" s="20">
        <f t="shared" si="11"/>
        <v>0</v>
      </c>
      <c r="AS23" s="86">
        <f t="shared" si="12"/>
        <v>0</v>
      </c>
      <c r="AT23" s="87">
        <f t="shared" si="13"/>
        <v>0</v>
      </c>
      <c r="AU23" s="88">
        <f t="shared" si="14"/>
        <v>0</v>
      </c>
      <c r="AV23" s="89" t="str">
        <f t="shared" si="15"/>
        <v>#VALUE!</v>
      </c>
      <c r="AW23" s="90">
        <f t="shared" si="16"/>
        <v>0</v>
      </c>
      <c r="AY23" s="85">
        <f t="shared" si="17"/>
        <v>1</v>
      </c>
      <c r="AZ23" s="20">
        <f t="shared" si="18"/>
        <v>1</v>
      </c>
      <c r="BA23" s="20">
        <f t="shared" si="19"/>
        <v>1</v>
      </c>
      <c r="BB23" s="91">
        <f t="shared" si="20"/>
        <v>376</v>
      </c>
      <c r="BC23" s="87">
        <f t="shared" si="21"/>
        <v>14672.88</v>
      </c>
      <c r="BD23" s="92">
        <f t="shared" si="22"/>
        <v>15.2</v>
      </c>
      <c r="BE23" s="89" t="str">
        <f t="shared" si="23"/>
        <v>#VALUE!</v>
      </c>
      <c r="BF23" s="90" t="str">
        <f t="shared" si="24"/>
        <v>#VALUE!</v>
      </c>
      <c r="BH23" s="93">
        <f t="shared" si="25"/>
        <v>14672.88</v>
      </c>
      <c r="BI23" s="94">
        <f t="shared" si="26"/>
        <v>1</v>
      </c>
      <c r="BJ23" s="95" t="str">
        <f t="shared" si="27"/>
        <v>#VALUE!</v>
      </c>
      <c r="BK23" s="96" t="str">
        <f t="shared" si="28"/>
        <v>#VALUE!</v>
      </c>
      <c r="BM23" s="97">
        <f t="shared" si="29"/>
        <v>1</v>
      </c>
    </row>
    <row r="24" ht="12.75" customHeight="1">
      <c r="A24" s="65"/>
      <c r="B24" s="66" t="s">
        <v>90</v>
      </c>
      <c r="C24" s="67">
        <v>15152.5</v>
      </c>
      <c r="D24" s="68">
        <v>11.0</v>
      </c>
      <c r="E24" s="67">
        <v>14600.16</v>
      </c>
      <c r="F24" s="68" t="s">
        <v>64</v>
      </c>
      <c r="G24" s="69">
        <v>38443.0</v>
      </c>
      <c r="H24" s="71" t="s">
        <v>57</v>
      </c>
      <c r="I24" s="69">
        <v>39022.0</v>
      </c>
      <c r="J24" s="71">
        <f t="shared" si="1"/>
        <v>19.3</v>
      </c>
      <c r="K24" s="72" t="s">
        <v>91</v>
      </c>
      <c r="L24" s="72">
        <v>15526.0</v>
      </c>
      <c r="M24" s="73">
        <v>926.03</v>
      </c>
      <c r="N24" s="73">
        <v>0.0</v>
      </c>
      <c r="O24" s="73">
        <v>0.0</v>
      </c>
      <c r="P24" s="73">
        <f t="shared" si="2"/>
        <v>0</v>
      </c>
      <c r="Q24" s="73">
        <f t="shared" si="3"/>
        <v>0.19</v>
      </c>
      <c r="R24" s="74">
        <f t="shared" si="4"/>
        <v>0.00001301355602</v>
      </c>
      <c r="S24" s="74">
        <f t="shared" si="5"/>
        <v>0.9999869864</v>
      </c>
      <c r="T24" s="75"/>
      <c r="V24" s="76"/>
      <c r="W24" s="77"/>
      <c r="X24" s="77"/>
      <c r="Y24" s="77"/>
      <c r="Z24" s="77"/>
      <c r="AA24" s="77"/>
      <c r="AB24" s="78">
        <f t="shared" si="6"/>
        <v>0</v>
      </c>
      <c r="AC24" s="77"/>
      <c r="AD24" s="79"/>
      <c r="AE24" s="80"/>
      <c r="AF24" s="81"/>
      <c r="AG24" s="79"/>
      <c r="AH24" s="80"/>
      <c r="AI24" s="82"/>
      <c r="AJ24" s="82">
        <f t="shared" si="7"/>
        <v>0</v>
      </c>
      <c r="AK24" s="83"/>
      <c r="AL24" s="84">
        <f t="shared" si="8"/>
        <v>0</v>
      </c>
      <c r="AP24" s="85">
        <f t="shared" si="9"/>
        <v>0</v>
      </c>
      <c r="AQ24" s="20">
        <f t="shared" si="10"/>
        <v>1</v>
      </c>
      <c r="AR24" s="20">
        <f t="shared" si="11"/>
        <v>0</v>
      </c>
      <c r="AS24" s="86">
        <f t="shared" si="12"/>
        <v>0</v>
      </c>
      <c r="AT24" s="87">
        <f t="shared" si="13"/>
        <v>0</v>
      </c>
      <c r="AU24" s="88">
        <f t="shared" si="14"/>
        <v>0</v>
      </c>
      <c r="AV24" s="89" t="str">
        <f t="shared" si="15"/>
        <v>#VALUE!</v>
      </c>
      <c r="AW24" s="90">
        <f t="shared" si="16"/>
        <v>0</v>
      </c>
      <c r="AY24" s="85">
        <f t="shared" si="17"/>
        <v>1</v>
      </c>
      <c r="AZ24" s="20">
        <f t="shared" si="18"/>
        <v>1</v>
      </c>
      <c r="BA24" s="20">
        <f t="shared" si="19"/>
        <v>1</v>
      </c>
      <c r="BB24" s="91">
        <f t="shared" si="20"/>
        <v>0</v>
      </c>
      <c r="BC24" s="87">
        <f t="shared" si="21"/>
        <v>14600.16</v>
      </c>
      <c r="BD24" s="92">
        <f t="shared" si="22"/>
        <v>19.3</v>
      </c>
      <c r="BE24" s="89" t="str">
        <f t="shared" si="23"/>
        <v>#VALUE!</v>
      </c>
      <c r="BF24" s="90" t="str">
        <f t="shared" si="24"/>
        <v>#VALUE!</v>
      </c>
      <c r="BH24" s="93">
        <f t="shared" si="25"/>
        <v>14600.16</v>
      </c>
      <c r="BI24" s="94">
        <f t="shared" si="26"/>
        <v>1</v>
      </c>
      <c r="BJ24" s="95" t="str">
        <f t="shared" si="27"/>
        <v>#VALUE!</v>
      </c>
      <c r="BK24" s="96" t="str">
        <f t="shared" si="28"/>
        <v>#VALUE!</v>
      </c>
      <c r="BM24" s="97">
        <f t="shared" si="29"/>
        <v>1</v>
      </c>
    </row>
    <row r="25" ht="12.75" customHeight="1">
      <c r="A25" s="65"/>
      <c r="B25" s="66" t="s">
        <v>92</v>
      </c>
      <c r="C25" s="67">
        <v>30772.0</v>
      </c>
      <c r="D25" s="68">
        <v>13.0</v>
      </c>
      <c r="E25" s="67">
        <v>30772.0</v>
      </c>
      <c r="F25" s="68" t="s">
        <v>64</v>
      </c>
      <c r="G25" s="69">
        <v>38534.0</v>
      </c>
      <c r="H25" s="71" t="s">
        <v>57</v>
      </c>
      <c r="I25" s="69">
        <v>39629.0</v>
      </c>
      <c r="J25" s="71">
        <f t="shared" si="1"/>
        <v>36.5</v>
      </c>
      <c r="K25" s="72" t="s">
        <v>93</v>
      </c>
      <c r="L25" s="72">
        <v>25700.0</v>
      </c>
      <c r="M25" s="73">
        <v>408.81</v>
      </c>
      <c r="N25" s="73">
        <v>0.0</v>
      </c>
      <c r="O25" s="73">
        <v>0.0</v>
      </c>
      <c r="P25" s="73">
        <f t="shared" si="2"/>
        <v>5072</v>
      </c>
      <c r="Q25" s="73">
        <f t="shared" si="3"/>
        <v>5480.81</v>
      </c>
      <c r="R25" s="74">
        <f t="shared" si="4"/>
        <v>0.1781102951</v>
      </c>
      <c r="S25" s="74">
        <f t="shared" si="5"/>
        <v>0.8218897049</v>
      </c>
      <c r="T25" s="75"/>
      <c r="V25" s="76"/>
      <c r="W25" s="77"/>
      <c r="X25" s="77"/>
      <c r="Y25" s="77"/>
      <c r="Z25" s="77"/>
      <c r="AA25" s="77"/>
      <c r="AB25" s="78">
        <f t="shared" si="6"/>
        <v>0</v>
      </c>
      <c r="AC25" s="77"/>
      <c r="AD25" s="79"/>
      <c r="AE25" s="80"/>
      <c r="AF25" s="81"/>
      <c r="AG25" s="79"/>
      <c r="AH25" s="80"/>
      <c r="AI25" s="82"/>
      <c r="AJ25" s="82">
        <f t="shared" si="7"/>
        <v>0</v>
      </c>
      <c r="AK25" s="83"/>
      <c r="AL25" s="84">
        <f t="shared" si="8"/>
        <v>0</v>
      </c>
      <c r="AP25" s="85">
        <f t="shared" si="9"/>
        <v>0</v>
      </c>
      <c r="AQ25" s="20">
        <f t="shared" si="10"/>
        <v>1</v>
      </c>
      <c r="AR25" s="20">
        <f t="shared" si="11"/>
        <v>0</v>
      </c>
      <c r="AS25" s="86">
        <f t="shared" si="12"/>
        <v>0</v>
      </c>
      <c r="AT25" s="87">
        <f t="shared" si="13"/>
        <v>0</v>
      </c>
      <c r="AU25" s="88">
        <f t="shared" si="14"/>
        <v>0</v>
      </c>
      <c r="AV25" s="89" t="str">
        <f t="shared" si="15"/>
        <v>#VALUE!</v>
      </c>
      <c r="AW25" s="90">
        <f t="shared" si="16"/>
        <v>0</v>
      </c>
      <c r="AY25" s="85">
        <f t="shared" si="17"/>
        <v>1</v>
      </c>
      <c r="AZ25" s="20">
        <f t="shared" si="18"/>
        <v>1</v>
      </c>
      <c r="BA25" s="20">
        <f t="shared" si="19"/>
        <v>1</v>
      </c>
      <c r="BB25" s="91">
        <f t="shared" si="20"/>
        <v>0</v>
      </c>
      <c r="BC25" s="87">
        <f t="shared" si="21"/>
        <v>30772</v>
      </c>
      <c r="BD25" s="92">
        <f t="shared" si="22"/>
        <v>36.5</v>
      </c>
      <c r="BE25" s="89" t="str">
        <f t="shared" si="23"/>
        <v>#VALUE!</v>
      </c>
      <c r="BF25" s="90" t="str">
        <f t="shared" si="24"/>
        <v>#VALUE!</v>
      </c>
      <c r="BH25" s="93">
        <f t="shared" si="25"/>
        <v>30772</v>
      </c>
      <c r="BI25" s="94">
        <f t="shared" si="26"/>
        <v>1</v>
      </c>
      <c r="BJ25" s="95" t="str">
        <f t="shared" si="27"/>
        <v>#VALUE!</v>
      </c>
      <c r="BK25" s="96" t="str">
        <f t="shared" si="28"/>
        <v>#VALUE!</v>
      </c>
      <c r="BM25" s="97">
        <f t="shared" si="29"/>
        <v>1</v>
      </c>
    </row>
    <row r="26" ht="12.75" customHeight="1">
      <c r="A26" s="65"/>
      <c r="B26" s="66" t="s">
        <v>94</v>
      </c>
      <c r="C26" s="67">
        <v>55304.55</v>
      </c>
      <c r="D26" s="68">
        <v>13.0</v>
      </c>
      <c r="E26" s="67">
        <v>54029.91</v>
      </c>
      <c r="F26" s="68" t="s">
        <v>56</v>
      </c>
      <c r="G26" s="69">
        <v>38540.0</v>
      </c>
      <c r="H26" s="71" t="s">
        <v>57</v>
      </c>
      <c r="I26" s="69">
        <v>39569.0</v>
      </c>
      <c r="J26" s="71">
        <f t="shared" si="1"/>
        <v>34.3</v>
      </c>
      <c r="K26" s="72" t="s">
        <v>95</v>
      </c>
      <c r="L26" s="72">
        <v>59965.5</v>
      </c>
      <c r="M26" s="73">
        <v>6689.0</v>
      </c>
      <c r="N26" s="73">
        <v>3782.0</v>
      </c>
      <c r="O26" s="73">
        <v>2950.0</v>
      </c>
      <c r="P26" s="73">
        <f t="shared" si="2"/>
        <v>0</v>
      </c>
      <c r="Q26" s="73">
        <f t="shared" si="3"/>
        <v>7485.41</v>
      </c>
      <c r="R26" s="74">
        <f t="shared" si="4"/>
        <v>0.1385419668</v>
      </c>
      <c r="S26" s="74">
        <f t="shared" si="5"/>
        <v>0.8614580332</v>
      </c>
      <c r="T26" s="75"/>
      <c r="V26" s="76"/>
      <c r="W26" s="77"/>
      <c r="X26" s="77"/>
      <c r="Y26" s="77"/>
      <c r="Z26" s="77"/>
      <c r="AA26" s="77"/>
      <c r="AB26" s="78">
        <f t="shared" si="6"/>
        <v>0</v>
      </c>
      <c r="AC26" s="77"/>
      <c r="AD26" s="79"/>
      <c r="AE26" s="80"/>
      <c r="AF26" s="81"/>
      <c r="AG26" s="79"/>
      <c r="AH26" s="80"/>
      <c r="AI26" s="82"/>
      <c r="AJ26" s="82">
        <f t="shared" si="7"/>
        <v>0</v>
      </c>
      <c r="AK26" s="83"/>
      <c r="AL26" s="84">
        <f t="shared" si="8"/>
        <v>0</v>
      </c>
      <c r="AP26" s="85">
        <f t="shared" si="9"/>
        <v>1</v>
      </c>
      <c r="AQ26" s="20">
        <f t="shared" si="10"/>
        <v>1</v>
      </c>
      <c r="AR26" s="20">
        <f t="shared" si="11"/>
        <v>1</v>
      </c>
      <c r="AS26" s="86">
        <f t="shared" si="12"/>
        <v>6732</v>
      </c>
      <c r="AT26" s="87">
        <f t="shared" si="13"/>
        <v>54029.91</v>
      </c>
      <c r="AU26" s="88">
        <f t="shared" si="14"/>
        <v>34.3</v>
      </c>
      <c r="AV26" s="89" t="str">
        <f t="shared" si="15"/>
        <v>#VALUE!</v>
      </c>
      <c r="AW26" s="90" t="str">
        <f t="shared" si="16"/>
        <v>#VALUE!</v>
      </c>
      <c r="AY26" s="85">
        <f t="shared" si="17"/>
        <v>0</v>
      </c>
      <c r="AZ26" s="20">
        <f t="shared" si="18"/>
        <v>1</v>
      </c>
      <c r="BA26" s="20">
        <f t="shared" si="19"/>
        <v>0</v>
      </c>
      <c r="BB26" s="91">
        <f t="shared" si="20"/>
        <v>0</v>
      </c>
      <c r="BC26" s="87">
        <f t="shared" si="21"/>
        <v>0</v>
      </c>
      <c r="BD26" s="92">
        <f t="shared" si="22"/>
        <v>0</v>
      </c>
      <c r="BE26" s="89" t="str">
        <f t="shared" si="23"/>
        <v>#VALUE!</v>
      </c>
      <c r="BF26" s="90">
        <f t="shared" si="24"/>
        <v>0</v>
      </c>
      <c r="BH26" s="93">
        <f t="shared" si="25"/>
        <v>54029.91</v>
      </c>
      <c r="BI26" s="94">
        <f t="shared" si="26"/>
        <v>1</v>
      </c>
      <c r="BJ26" s="95" t="str">
        <f t="shared" si="27"/>
        <v>#VALUE!</v>
      </c>
      <c r="BK26" s="96" t="str">
        <f t="shared" si="28"/>
        <v>#VALUE!</v>
      </c>
      <c r="BM26" s="97">
        <f t="shared" si="29"/>
        <v>1</v>
      </c>
    </row>
    <row r="27" ht="12.75" customHeight="1">
      <c r="A27" s="65"/>
      <c r="B27" s="66" t="s">
        <v>96</v>
      </c>
      <c r="C27" s="67">
        <v>35000.0</v>
      </c>
      <c r="D27" s="68">
        <v>12.0</v>
      </c>
      <c r="E27" s="67">
        <v>33829.82</v>
      </c>
      <c r="F27" s="68" t="s">
        <v>64</v>
      </c>
      <c r="G27" s="69">
        <v>38869.0</v>
      </c>
      <c r="H27" s="71" t="s">
        <v>57</v>
      </c>
      <c r="I27" s="69">
        <v>39203.0</v>
      </c>
      <c r="J27" s="71">
        <f t="shared" si="1"/>
        <v>11.13333333</v>
      </c>
      <c r="K27" s="72" t="s">
        <v>97</v>
      </c>
      <c r="L27" s="72">
        <v>36000.0</v>
      </c>
      <c r="M27" s="73">
        <v>2408.03</v>
      </c>
      <c r="N27" s="73">
        <v>0.0</v>
      </c>
      <c r="O27" s="73">
        <v>0.0</v>
      </c>
      <c r="P27" s="73">
        <f t="shared" si="2"/>
        <v>0</v>
      </c>
      <c r="Q27" s="73">
        <f t="shared" si="3"/>
        <v>237.85</v>
      </c>
      <c r="R27" s="74">
        <f t="shared" si="4"/>
        <v>0.007030779354</v>
      </c>
      <c r="S27" s="74">
        <f t="shared" si="5"/>
        <v>0.9929692206</v>
      </c>
      <c r="T27" s="75"/>
      <c r="V27" s="76"/>
      <c r="W27" s="77"/>
      <c r="X27" s="77"/>
      <c r="Y27" s="77"/>
      <c r="Z27" s="77"/>
      <c r="AA27" s="77"/>
      <c r="AB27" s="78">
        <f t="shared" si="6"/>
        <v>0</v>
      </c>
      <c r="AC27" s="77"/>
      <c r="AD27" s="79"/>
      <c r="AE27" s="80"/>
      <c r="AF27" s="81"/>
      <c r="AG27" s="79"/>
      <c r="AH27" s="80"/>
      <c r="AI27" s="82"/>
      <c r="AJ27" s="82">
        <f t="shared" si="7"/>
        <v>0</v>
      </c>
      <c r="AK27" s="83"/>
      <c r="AL27" s="84">
        <f t="shared" si="8"/>
        <v>0</v>
      </c>
      <c r="AP27" s="85">
        <f t="shared" si="9"/>
        <v>0</v>
      </c>
      <c r="AQ27" s="20">
        <f t="shared" si="10"/>
        <v>1</v>
      </c>
      <c r="AR27" s="20">
        <f t="shared" si="11"/>
        <v>0</v>
      </c>
      <c r="AS27" s="86">
        <f t="shared" si="12"/>
        <v>0</v>
      </c>
      <c r="AT27" s="87">
        <f t="shared" si="13"/>
        <v>0</v>
      </c>
      <c r="AU27" s="88">
        <f t="shared" si="14"/>
        <v>0</v>
      </c>
      <c r="AV27" s="89" t="str">
        <f t="shared" si="15"/>
        <v>#VALUE!</v>
      </c>
      <c r="AW27" s="90">
        <f t="shared" si="16"/>
        <v>0</v>
      </c>
      <c r="AY27" s="85">
        <f t="shared" si="17"/>
        <v>1</v>
      </c>
      <c r="AZ27" s="20">
        <f t="shared" si="18"/>
        <v>1</v>
      </c>
      <c r="BA27" s="20">
        <f t="shared" si="19"/>
        <v>1</v>
      </c>
      <c r="BB27" s="91">
        <f t="shared" si="20"/>
        <v>0</v>
      </c>
      <c r="BC27" s="87">
        <f t="shared" si="21"/>
        <v>33829.82</v>
      </c>
      <c r="BD27" s="92">
        <f t="shared" si="22"/>
        <v>11.13333333</v>
      </c>
      <c r="BE27" s="89" t="str">
        <f t="shared" si="23"/>
        <v>#VALUE!</v>
      </c>
      <c r="BF27" s="90" t="str">
        <f t="shared" si="24"/>
        <v>#VALUE!</v>
      </c>
      <c r="BH27" s="93">
        <f t="shared" si="25"/>
        <v>33829.82</v>
      </c>
      <c r="BI27" s="94">
        <f t="shared" si="26"/>
        <v>1</v>
      </c>
      <c r="BJ27" s="95" t="str">
        <f t="shared" si="27"/>
        <v>#VALUE!</v>
      </c>
      <c r="BK27" s="96" t="str">
        <f t="shared" si="28"/>
        <v>#VALUE!</v>
      </c>
      <c r="BM27" s="97">
        <f t="shared" si="29"/>
        <v>1</v>
      </c>
    </row>
    <row r="28" ht="12.75" customHeight="1">
      <c r="A28" s="65"/>
      <c r="B28" s="66" t="s">
        <v>98</v>
      </c>
      <c r="C28" s="67">
        <v>19701.0</v>
      </c>
      <c r="D28" s="68">
        <v>6.0</v>
      </c>
      <c r="E28" s="67">
        <v>19701.0</v>
      </c>
      <c r="F28" s="68" t="s">
        <v>64</v>
      </c>
      <c r="G28" s="69">
        <v>38899.0</v>
      </c>
      <c r="H28" s="71" t="s">
        <v>57</v>
      </c>
      <c r="I28" s="69">
        <v>39326.0</v>
      </c>
      <c r="J28" s="71">
        <f t="shared" si="1"/>
        <v>14.23333333</v>
      </c>
      <c r="K28" s="72" t="s">
        <v>99</v>
      </c>
      <c r="L28" s="72">
        <v>20000.0</v>
      </c>
      <c r="M28" s="73">
        <v>294.98</v>
      </c>
      <c r="N28" s="73">
        <v>0.0</v>
      </c>
      <c r="O28" s="73">
        <v>1950.0</v>
      </c>
      <c r="P28" s="73">
        <f t="shared" si="2"/>
        <v>0</v>
      </c>
      <c r="Q28" s="73">
        <f t="shared" si="3"/>
        <v>1945.98</v>
      </c>
      <c r="R28" s="74">
        <f t="shared" si="4"/>
        <v>0.09877569667</v>
      </c>
      <c r="S28" s="74">
        <f t="shared" si="5"/>
        <v>0.9012243033</v>
      </c>
      <c r="T28" s="75"/>
      <c r="V28" s="76"/>
      <c r="W28" s="77"/>
      <c r="X28" s="77"/>
      <c r="Y28" s="77"/>
      <c r="Z28" s="77"/>
      <c r="AA28" s="77"/>
      <c r="AB28" s="78">
        <f t="shared" si="6"/>
        <v>0</v>
      </c>
      <c r="AC28" s="77"/>
      <c r="AD28" s="79"/>
      <c r="AE28" s="80"/>
      <c r="AF28" s="81"/>
      <c r="AG28" s="79"/>
      <c r="AH28" s="80"/>
      <c r="AI28" s="82"/>
      <c r="AJ28" s="82">
        <f t="shared" si="7"/>
        <v>0</v>
      </c>
      <c r="AK28" s="83"/>
      <c r="AL28" s="84">
        <f t="shared" si="8"/>
        <v>0</v>
      </c>
      <c r="AP28" s="85">
        <f t="shared" si="9"/>
        <v>0</v>
      </c>
      <c r="AQ28" s="20">
        <f t="shared" si="10"/>
        <v>1</v>
      </c>
      <c r="AR28" s="20">
        <f t="shared" si="11"/>
        <v>0</v>
      </c>
      <c r="AS28" s="86">
        <f t="shared" si="12"/>
        <v>0</v>
      </c>
      <c r="AT28" s="87">
        <f t="shared" si="13"/>
        <v>0</v>
      </c>
      <c r="AU28" s="88">
        <f t="shared" si="14"/>
        <v>0</v>
      </c>
      <c r="AV28" s="89" t="str">
        <f t="shared" si="15"/>
        <v>#VALUE!</v>
      </c>
      <c r="AW28" s="90">
        <f t="shared" si="16"/>
        <v>0</v>
      </c>
      <c r="AY28" s="85">
        <f t="shared" si="17"/>
        <v>1</v>
      </c>
      <c r="AZ28" s="20">
        <f t="shared" si="18"/>
        <v>1</v>
      </c>
      <c r="BA28" s="20">
        <f t="shared" si="19"/>
        <v>1</v>
      </c>
      <c r="BB28" s="91">
        <f t="shared" si="20"/>
        <v>1950</v>
      </c>
      <c r="BC28" s="87">
        <f t="shared" si="21"/>
        <v>19701</v>
      </c>
      <c r="BD28" s="92">
        <f t="shared" si="22"/>
        <v>14.23333333</v>
      </c>
      <c r="BE28" s="89" t="str">
        <f t="shared" si="23"/>
        <v>#VALUE!</v>
      </c>
      <c r="BF28" s="90" t="str">
        <f t="shared" si="24"/>
        <v>#VALUE!</v>
      </c>
      <c r="BH28" s="93">
        <f t="shared" si="25"/>
        <v>19701</v>
      </c>
      <c r="BI28" s="94">
        <f t="shared" si="26"/>
        <v>1</v>
      </c>
      <c r="BJ28" s="95" t="str">
        <f t="shared" si="27"/>
        <v>#VALUE!</v>
      </c>
      <c r="BK28" s="96" t="str">
        <f t="shared" si="28"/>
        <v>#VALUE!</v>
      </c>
      <c r="BM28" s="97">
        <f t="shared" si="29"/>
        <v>1</v>
      </c>
    </row>
    <row r="29" ht="12.75" customHeight="1">
      <c r="A29" s="65"/>
      <c r="B29" s="66" t="s">
        <v>100</v>
      </c>
      <c r="C29" s="67">
        <v>35102.5</v>
      </c>
      <c r="D29" s="68">
        <v>13.0</v>
      </c>
      <c r="E29" s="67">
        <v>33695.19</v>
      </c>
      <c r="F29" s="68" t="s">
        <v>56</v>
      </c>
      <c r="G29" s="69">
        <v>38930.0</v>
      </c>
      <c r="H29" s="71" t="s">
        <v>57</v>
      </c>
      <c r="I29" s="69">
        <v>39629.0</v>
      </c>
      <c r="J29" s="71">
        <f t="shared" si="1"/>
        <v>23.3</v>
      </c>
      <c r="K29" s="72" t="s">
        <v>101</v>
      </c>
      <c r="L29" s="72">
        <v>33695.0</v>
      </c>
      <c r="M29" s="73">
        <v>3324.55</v>
      </c>
      <c r="N29" s="73">
        <v>2750.0</v>
      </c>
      <c r="O29" s="73">
        <v>0.0</v>
      </c>
      <c r="P29" s="73">
        <f t="shared" si="2"/>
        <v>0.19</v>
      </c>
      <c r="Q29" s="73">
        <f t="shared" si="3"/>
        <v>6074.74</v>
      </c>
      <c r="R29" s="74">
        <f t="shared" si="4"/>
        <v>0.1802850793</v>
      </c>
      <c r="S29" s="74">
        <f t="shared" si="5"/>
        <v>0.8197149207</v>
      </c>
      <c r="T29" s="75"/>
      <c r="V29" s="76"/>
      <c r="W29" s="77"/>
      <c r="X29" s="77"/>
      <c r="Y29" s="77"/>
      <c r="Z29" s="77"/>
      <c r="AA29" s="77"/>
      <c r="AB29" s="78">
        <f t="shared" si="6"/>
        <v>0</v>
      </c>
      <c r="AC29" s="77"/>
      <c r="AD29" s="79"/>
      <c r="AE29" s="80"/>
      <c r="AF29" s="81"/>
      <c r="AG29" s="79"/>
      <c r="AH29" s="80"/>
      <c r="AI29" s="82"/>
      <c r="AJ29" s="82">
        <f t="shared" si="7"/>
        <v>0</v>
      </c>
      <c r="AK29" s="83"/>
      <c r="AL29" s="84">
        <f t="shared" si="8"/>
        <v>0</v>
      </c>
      <c r="AP29" s="85">
        <f t="shared" si="9"/>
        <v>1</v>
      </c>
      <c r="AQ29" s="20">
        <f t="shared" si="10"/>
        <v>1</v>
      </c>
      <c r="AR29" s="20">
        <f t="shared" si="11"/>
        <v>1</v>
      </c>
      <c r="AS29" s="86">
        <f t="shared" si="12"/>
        <v>2750</v>
      </c>
      <c r="AT29" s="87">
        <f t="shared" si="13"/>
        <v>33695.19</v>
      </c>
      <c r="AU29" s="88">
        <f t="shared" si="14"/>
        <v>23.3</v>
      </c>
      <c r="AV29" s="89" t="str">
        <f t="shared" si="15"/>
        <v>#VALUE!</v>
      </c>
      <c r="AW29" s="90" t="str">
        <f t="shared" si="16"/>
        <v>#VALUE!</v>
      </c>
      <c r="AY29" s="85">
        <f t="shared" si="17"/>
        <v>0</v>
      </c>
      <c r="AZ29" s="20">
        <f t="shared" si="18"/>
        <v>1</v>
      </c>
      <c r="BA29" s="20">
        <f t="shared" si="19"/>
        <v>0</v>
      </c>
      <c r="BB29" s="91">
        <f t="shared" si="20"/>
        <v>0</v>
      </c>
      <c r="BC29" s="87">
        <f t="shared" si="21"/>
        <v>0</v>
      </c>
      <c r="BD29" s="92">
        <f t="shared" si="22"/>
        <v>0</v>
      </c>
      <c r="BE29" s="89" t="str">
        <f t="shared" si="23"/>
        <v>#VALUE!</v>
      </c>
      <c r="BF29" s="90">
        <f t="shared" si="24"/>
        <v>0</v>
      </c>
      <c r="BH29" s="93">
        <f t="shared" si="25"/>
        <v>33695.19</v>
      </c>
      <c r="BI29" s="94">
        <f t="shared" si="26"/>
        <v>1</v>
      </c>
      <c r="BJ29" s="95" t="str">
        <f t="shared" si="27"/>
        <v>#VALUE!</v>
      </c>
      <c r="BK29" s="96" t="str">
        <f t="shared" si="28"/>
        <v>#VALUE!</v>
      </c>
      <c r="BM29" s="97">
        <f t="shared" si="29"/>
        <v>1</v>
      </c>
    </row>
    <row r="30" ht="12.75" customHeight="1">
      <c r="A30" s="65"/>
      <c r="B30" s="66" t="s">
        <v>102</v>
      </c>
      <c r="C30" s="67">
        <v>15324.14</v>
      </c>
      <c r="D30" s="68">
        <v>9.0</v>
      </c>
      <c r="E30" s="67">
        <v>15288.41</v>
      </c>
      <c r="F30" s="68" t="s">
        <v>64</v>
      </c>
      <c r="G30" s="69">
        <v>39052.0</v>
      </c>
      <c r="H30" s="71" t="s">
        <v>57</v>
      </c>
      <c r="I30" s="69">
        <v>39326.0</v>
      </c>
      <c r="J30" s="71">
        <f t="shared" si="1"/>
        <v>9.133333333</v>
      </c>
      <c r="K30" s="72" t="s">
        <v>103</v>
      </c>
      <c r="L30" s="72">
        <v>15288.0</v>
      </c>
      <c r="M30" s="73">
        <v>606.4</v>
      </c>
      <c r="N30" s="73">
        <v>0.0</v>
      </c>
      <c r="O30" s="73">
        <v>0.0</v>
      </c>
      <c r="P30" s="73">
        <f t="shared" si="2"/>
        <v>0.41</v>
      </c>
      <c r="Q30" s="73">
        <f t="shared" si="3"/>
        <v>606.81</v>
      </c>
      <c r="R30" s="74">
        <f t="shared" si="4"/>
        <v>0.03969085078</v>
      </c>
      <c r="S30" s="74">
        <f t="shared" si="5"/>
        <v>0.9603091492</v>
      </c>
      <c r="T30" s="75"/>
      <c r="V30" s="76"/>
      <c r="W30" s="77"/>
      <c r="X30" s="77"/>
      <c r="Y30" s="77"/>
      <c r="Z30" s="77"/>
      <c r="AA30" s="77"/>
      <c r="AB30" s="78">
        <f t="shared" si="6"/>
        <v>0</v>
      </c>
      <c r="AC30" s="77"/>
      <c r="AD30" s="79"/>
      <c r="AE30" s="80"/>
      <c r="AF30" s="81"/>
      <c r="AG30" s="79"/>
      <c r="AH30" s="80"/>
      <c r="AI30" s="82"/>
      <c r="AJ30" s="82">
        <f t="shared" si="7"/>
        <v>0</v>
      </c>
      <c r="AK30" s="83"/>
      <c r="AL30" s="84">
        <f t="shared" si="8"/>
        <v>0</v>
      </c>
      <c r="AP30" s="85">
        <f t="shared" si="9"/>
        <v>0</v>
      </c>
      <c r="AQ30" s="20">
        <f t="shared" si="10"/>
        <v>1</v>
      </c>
      <c r="AR30" s="20">
        <f t="shared" si="11"/>
        <v>0</v>
      </c>
      <c r="AS30" s="86">
        <f t="shared" si="12"/>
        <v>0</v>
      </c>
      <c r="AT30" s="87">
        <f t="shared" si="13"/>
        <v>0</v>
      </c>
      <c r="AU30" s="88">
        <f t="shared" si="14"/>
        <v>0</v>
      </c>
      <c r="AV30" s="89" t="str">
        <f t="shared" si="15"/>
        <v>#VALUE!</v>
      </c>
      <c r="AW30" s="90">
        <f t="shared" si="16"/>
        <v>0</v>
      </c>
      <c r="AY30" s="85">
        <f t="shared" si="17"/>
        <v>1</v>
      </c>
      <c r="AZ30" s="20">
        <f t="shared" si="18"/>
        <v>1</v>
      </c>
      <c r="BA30" s="20">
        <f t="shared" si="19"/>
        <v>1</v>
      </c>
      <c r="BB30" s="91">
        <f t="shared" si="20"/>
        <v>0</v>
      </c>
      <c r="BC30" s="87">
        <f t="shared" si="21"/>
        <v>15288.41</v>
      </c>
      <c r="BD30" s="92">
        <f t="shared" si="22"/>
        <v>9.133333333</v>
      </c>
      <c r="BE30" s="89" t="str">
        <f t="shared" si="23"/>
        <v>#VALUE!</v>
      </c>
      <c r="BF30" s="90" t="str">
        <f t="shared" si="24"/>
        <v>#VALUE!</v>
      </c>
      <c r="BH30" s="93">
        <f t="shared" si="25"/>
        <v>15288.41</v>
      </c>
      <c r="BI30" s="94">
        <f t="shared" si="26"/>
        <v>1</v>
      </c>
      <c r="BJ30" s="95" t="str">
        <f t="shared" si="27"/>
        <v>#VALUE!</v>
      </c>
      <c r="BK30" s="96" t="str">
        <f t="shared" si="28"/>
        <v>#VALUE!</v>
      </c>
      <c r="BM30" s="97">
        <f t="shared" si="29"/>
        <v>1</v>
      </c>
    </row>
    <row r="31" ht="12.75" customHeight="1">
      <c r="A31" s="65"/>
      <c r="B31" s="66" t="s">
        <v>104</v>
      </c>
      <c r="C31" s="67">
        <v>17484.39</v>
      </c>
      <c r="D31" s="68">
        <v>10.0</v>
      </c>
      <c r="E31" s="67">
        <v>17084.35</v>
      </c>
      <c r="F31" s="68" t="s">
        <v>64</v>
      </c>
      <c r="G31" s="69">
        <v>39052.0</v>
      </c>
      <c r="H31" s="71" t="s">
        <v>57</v>
      </c>
      <c r="I31" s="69">
        <v>39356.0</v>
      </c>
      <c r="J31" s="71">
        <f t="shared" si="1"/>
        <v>10.13333333</v>
      </c>
      <c r="K31" s="72" t="s">
        <v>105</v>
      </c>
      <c r="L31" s="72">
        <v>17084.35</v>
      </c>
      <c r="M31" s="73">
        <v>482.0</v>
      </c>
      <c r="N31" s="73">
        <v>0.0</v>
      </c>
      <c r="O31" s="73">
        <v>0.0</v>
      </c>
      <c r="P31" s="73">
        <f t="shared" si="2"/>
        <v>0</v>
      </c>
      <c r="Q31" s="73">
        <f t="shared" si="3"/>
        <v>482</v>
      </c>
      <c r="R31" s="74">
        <f t="shared" si="4"/>
        <v>0.02821295513</v>
      </c>
      <c r="S31" s="74">
        <f t="shared" si="5"/>
        <v>0.9717870449</v>
      </c>
      <c r="T31" s="75"/>
      <c r="V31" s="76"/>
      <c r="W31" s="77"/>
      <c r="X31" s="77"/>
      <c r="Y31" s="77"/>
      <c r="Z31" s="77"/>
      <c r="AA31" s="77"/>
      <c r="AB31" s="78">
        <f t="shared" si="6"/>
        <v>0</v>
      </c>
      <c r="AC31" s="77"/>
      <c r="AD31" s="79"/>
      <c r="AE31" s="80"/>
      <c r="AF31" s="81"/>
      <c r="AG31" s="79"/>
      <c r="AH31" s="80"/>
      <c r="AI31" s="82"/>
      <c r="AJ31" s="82">
        <f t="shared" si="7"/>
        <v>0</v>
      </c>
      <c r="AK31" s="83"/>
      <c r="AL31" s="84">
        <f t="shared" si="8"/>
        <v>0</v>
      </c>
      <c r="AP31" s="85">
        <f t="shared" si="9"/>
        <v>0</v>
      </c>
      <c r="AQ31" s="20">
        <f t="shared" si="10"/>
        <v>1</v>
      </c>
      <c r="AR31" s="20">
        <f t="shared" si="11"/>
        <v>0</v>
      </c>
      <c r="AS31" s="86">
        <f t="shared" si="12"/>
        <v>0</v>
      </c>
      <c r="AT31" s="87">
        <f t="shared" si="13"/>
        <v>0</v>
      </c>
      <c r="AU31" s="88">
        <f t="shared" si="14"/>
        <v>0</v>
      </c>
      <c r="AV31" s="89" t="str">
        <f t="shared" si="15"/>
        <v>#VALUE!</v>
      </c>
      <c r="AW31" s="90">
        <f t="shared" si="16"/>
        <v>0</v>
      </c>
      <c r="AY31" s="85">
        <f t="shared" si="17"/>
        <v>1</v>
      </c>
      <c r="AZ31" s="20">
        <f t="shared" si="18"/>
        <v>1</v>
      </c>
      <c r="BA31" s="20">
        <f t="shared" si="19"/>
        <v>1</v>
      </c>
      <c r="BB31" s="91">
        <f t="shared" si="20"/>
        <v>0</v>
      </c>
      <c r="BC31" s="87">
        <f t="shared" si="21"/>
        <v>17084.35</v>
      </c>
      <c r="BD31" s="92">
        <f t="shared" si="22"/>
        <v>10.13333333</v>
      </c>
      <c r="BE31" s="89" t="str">
        <f t="shared" si="23"/>
        <v>#VALUE!</v>
      </c>
      <c r="BF31" s="90" t="str">
        <f t="shared" si="24"/>
        <v>#VALUE!</v>
      </c>
      <c r="BH31" s="93">
        <f t="shared" si="25"/>
        <v>17084.35</v>
      </c>
      <c r="BI31" s="94">
        <f t="shared" si="26"/>
        <v>1</v>
      </c>
      <c r="BJ31" s="95" t="str">
        <f t="shared" si="27"/>
        <v>#VALUE!</v>
      </c>
      <c r="BK31" s="96" t="str">
        <f t="shared" si="28"/>
        <v>#VALUE!</v>
      </c>
      <c r="BM31" s="97">
        <f t="shared" si="29"/>
        <v>1</v>
      </c>
    </row>
    <row r="32" ht="12.75" customHeight="1">
      <c r="A32" s="65"/>
      <c r="B32" s="66" t="s">
        <v>106</v>
      </c>
      <c r="C32" s="67">
        <v>19902.5</v>
      </c>
      <c r="D32" s="68">
        <v>13.0</v>
      </c>
      <c r="E32" s="67">
        <v>17315.75</v>
      </c>
      <c r="F32" s="68" t="s">
        <v>56</v>
      </c>
      <c r="G32" s="69">
        <v>39083.0</v>
      </c>
      <c r="H32" s="71" t="s">
        <v>57</v>
      </c>
      <c r="I32" s="69">
        <v>39568.0</v>
      </c>
      <c r="J32" s="71">
        <f t="shared" si="1"/>
        <v>16.16666667</v>
      </c>
      <c r="K32" s="72" t="s">
        <v>107</v>
      </c>
      <c r="L32" s="72">
        <v>20815.75</v>
      </c>
      <c r="M32" s="73">
        <v>633.95</v>
      </c>
      <c r="N32" s="73">
        <v>2847.15</v>
      </c>
      <c r="O32" s="73">
        <v>0.0</v>
      </c>
      <c r="P32" s="73">
        <f t="shared" si="2"/>
        <v>0</v>
      </c>
      <c r="Q32" s="73">
        <f t="shared" si="3"/>
        <v>0</v>
      </c>
      <c r="R32" s="74">
        <f t="shared" si="4"/>
        <v>0</v>
      </c>
      <c r="S32" s="74">
        <f t="shared" si="5"/>
        <v>1</v>
      </c>
      <c r="T32" s="75"/>
      <c r="V32" s="76"/>
      <c r="W32" s="77"/>
      <c r="X32" s="77"/>
      <c r="Y32" s="77"/>
      <c r="Z32" s="77"/>
      <c r="AA32" s="77"/>
      <c r="AB32" s="78">
        <f t="shared" si="6"/>
        <v>0</v>
      </c>
      <c r="AC32" s="77"/>
      <c r="AD32" s="79"/>
      <c r="AE32" s="80"/>
      <c r="AF32" s="81"/>
      <c r="AG32" s="79"/>
      <c r="AH32" s="80"/>
      <c r="AI32" s="82"/>
      <c r="AJ32" s="82">
        <f t="shared" si="7"/>
        <v>0</v>
      </c>
      <c r="AK32" s="83"/>
      <c r="AL32" s="84">
        <f t="shared" si="8"/>
        <v>0</v>
      </c>
      <c r="AP32" s="85">
        <f t="shared" si="9"/>
        <v>1</v>
      </c>
      <c r="AQ32" s="20">
        <f t="shared" si="10"/>
        <v>1</v>
      </c>
      <c r="AR32" s="20">
        <f t="shared" si="11"/>
        <v>1</v>
      </c>
      <c r="AS32" s="86">
        <f t="shared" si="12"/>
        <v>2847.15</v>
      </c>
      <c r="AT32" s="87">
        <f t="shared" si="13"/>
        <v>17315.75</v>
      </c>
      <c r="AU32" s="88">
        <f t="shared" si="14"/>
        <v>16.16666667</v>
      </c>
      <c r="AV32" s="89" t="str">
        <f t="shared" si="15"/>
        <v>#VALUE!</v>
      </c>
      <c r="AW32" s="90" t="str">
        <f t="shared" si="16"/>
        <v>#VALUE!</v>
      </c>
      <c r="AY32" s="85">
        <f t="shared" si="17"/>
        <v>0</v>
      </c>
      <c r="AZ32" s="20">
        <f t="shared" si="18"/>
        <v>1</v>
      </c>
      <c r="BA32" s="20">
        <f t="shared" si="19"/>
        <v>0</v>
      </c>
      <c r="BB32" s="91">
        <f t="shared" si="20"/>
        <v>0</v>
      </c>
      <c r="BC32" s="87">
        <f t="shared" si="21"/>
        <v>0</v>
      </c>
      <c r="BD32" s="92">
        <f t="shared" si="22"/>
        <v>0</v>
      </c>
      <c r="BE32" s="89" t="str">
        <f t="shared" si="23"/>
        <v>#VALUE!</v>
      </c>
      <c r="BF32" s="90">
        <f t="shared" si="24"/>
        <v>0</v>
      </c>
      <c r="BH32" s="93">
        <f t="shared" si="25"/>
        <v>17315.75</v>
      </c>
      <c r="BI32" s="94">
        <f t="shared" si="26"/>
        <v>1</v>
      </c>
      <c r="BJ32" s="95" t="str">
        <f t="shared" si="27"/>
        <v>#VALUE!</v>
      </c>
      <c r="BK32" s="96" t="str">
        <f t="shared" si="28"/>
        <v>#VALUE!</v>
      </c>
      <c r="BM32" s="97">
        <f t="shared" si="29"/>
        <v>1</v>
      </c>
    </row>
    <row r="33" ht="12.75" customHeight="1">
      <c r="A33" s="65"/>
      <c r="B33" s="66" t="s">
        <v>108</v>
      </c>
      <c r="C33" s="67">
        <v>29925.0</v>
      </c>
      <c r="D33" s="68">
        <v>13.0</v>
      </c>
      <c r="E33" s="67">
        <v>25643.41</v>
      </c>
      <c r="F33" s="68" t="s">
        <v>56</v>
      </c>
      <c r="G33" s="69">
        <v>39127.0</v>
      </c>
      <c r="H33" s="71" t="s">
        <v>57</v>
      </c>
      <c r="I33" s="69">
        <v>39587.0</v>
      </c>
      <c r="J33" s="71">
        <f t="shared" si="1"/>
        <v>15.33333333</v>
      </c>
      <c r="K33" s="72" t="s">
        <v>109</v>
      </c>
      <c r="L33" s="72">
        <v>31085.53</v>
      </c>
      <c r="M33" s="73">
        <v>2411.18</v>
      </c>
      <c r="N33" s="73">
        <v>4262.28</v>
      </c>
      <c r="O33" s="73">
        <v>0.0</v>
      </c>
      <c r="P33" s="73">
        <f t="shared" si="2"/>
        <v>0</v>
      </c>
      <c r="Q33" s="73">
        <f t="shared" si="3"/>
        <v>1231.34</v>
      </c>
      <c r="R33" s="74">
        <f t="shared" si="4"/>
        <v>0.04801779483</v>
      </c>
      <c r="S33" s="74">
        <f t="shared" si="5"/>
        <v>0.9519822052</v>
      </c>
      <c r="T33" s="75"/>
      <c r="V33" s="76"/>
      <c r="W33" s="77"/>
      <c r="X33" s="77"/>
      <c r="Y33" s="77"/>
      <c r="Z33" s="77"/>
      <c r="AA33" s="77"/>
      <c r="AB33" s="78">
        <f t="shared" si="6"/>
        <v>0</v>
      </c>
      <c r="AC33" s="77"/>
      <c r="AD33" s="79"/>
      <c r="AE33" s="80"/>
      <c r="AF33" s="81"/>
      <c r="AG33" s="79"/>
      <c r="AH33" s="80"/>
      <c r="AI33" s="82"/>
      <c r="AJ33" s="82">
        <f t="shared" si="7"/>
        <v>0</v>
      </c>
      <c r="AK33" s="83"/>
      <c r="AL33" s="84">
        <f t="shared" si="8"/>
        <v>0</v>
      </c>
      <c r="AP33" s="85">
        <f t="shared" si="9"/>
        <v>1</v>
      </c>
      <c r="AQ33" s="20">
        <f t="shared" si="10"/>
        <v>1</v>
      </c>
      <c r="AR33" s="20">
        <f t="shared" si="11"/>
        <v>1</v>
      </c>
      <c r="AS33" s="86">
        <f t="shared" si="12"/>
        <v>4262.28</v>
      </c>
      <c r="AT33" s="87">
        <f t="shared" si="13"/>
        <v>25643.41</v>
      </c>
      <c r="AU33" s="88">
        <f t="shared" si="14"/>
        <v>15.33333333</v>
      </c>
      <c r="AV33" s="89" t="str">
        <f t="shared" si="15"/>
        <v>#VALUE!</v>
      </c>
      <c r="AW33" s="90" t="str">
        <f t="shared" si="16"/>
        <v>#VALUE!</v>
      </c>
      <c r="AY33" s="85">
        <f t="shared" si="17"/>
        <v>0</v>
      </c>
      <c r="AZ33" s="20">
        <f t="shared" si="18"/>
        <v>1</v>
      </c>
      <c r="BA33" s="20">
        <f t="shared" si="19"/>
        <v>0</v>
      </c>
      <c r="BB33" s="91">
        <f t="shared" si="20"/>
        <v>0</v>
      </c>
      <c r="BC33" s="87">
        <f t="shared" si="21"/>
        <v>0</v>
      </c>
      <c r="BD33" s="92">
        <f t="shared" si="22"/>
        <v>0</v>
      </c>
      <c r="BE33" s="89" t="str">
        <f t="shared" si="23"/>
        <v>#VALUE!</v>
      </c>
      <c r="BF33" s="90">
        <f t="shared" si="24"/>
        <v>0</v>
      </c>
      <c r="BH33" s="93">
        <f t="shared" si="25"/>
        <v>25643.41</v>
      </c>
      <c r="BI33" s="94">
        <f t="shared" si="26"/>
        <v>1</v>
      </c>
      <c r="BJ33" s="95" t="str">
        <f t="shared" si="27"/>
        <v>#VALUE!</v>
      </c>
      <c r="BK33" s="96" t="str">
        <f t="shared" si="28"/>
        <v>#VALUE!</v>
      </c>
      <c r="BM33" s="97">
        <f t="shared" si="29"/>
        <v>1</v>
      </c>
    </row>
    <row r="34" ht="12.75" customHeight="1">
      <c r="A34" s="65"/>
      <c r="B34" s="66" t="s">
        <v>110</v>
      </c>
      <c r="C34" s="67">
        <v>21384.0</v>
      </c>
      <c r="D34" s="68">
        <v>7.0</v>
      </c>
      <c r="E34" s="67">
        <v>21136.56</v>
      </c>
      <c r="F34" s="68" t="s">
        <v>64</v>
      </c>
      <c r="G34" s="69">
        <v>39142.0</v>
      </c>
      <c r="H34" s="71" t="s">
        <v>57</v>
      </c>
      <c r="I34" s="69">
        <v>39234.0</v>
      </c>
      <c r="J34" s="71">
        <f t="shared" si="1"/>
        <v>3.066666667</v>
      </c>
      <c r="K34" s="72" t="s">
        <v>111</v>
      </c>
      <c r="L34" s="72">
        <v>21136.56</v>
      </c>
      <c r="M34" s="73">
        <v>1952.0</v>
      </c>
      <c r="N34" s="73">
        <v>0.0</v>
      </c>
      <c r="O34" s="73">
        <v>0.0</v>
      </c>
      <c r="P34" s="73">
        <f t="shared" si="2"/>
        <v>0</v>
      </c>
      <c r="Q34" s="73">
        <f t="shared" si="3"/>
        <v>1952</v>
      </c>
      <c r="R34" s="74">
        <f t="shared" si="4"/>
        <v>0.09235183019</v>
      </c>
      <c r="S34" s="74">
        <f t="shared" si="5"/>
        <v>0.9076481698</v>
      </c>
      <c r="T34" s="75"/>
      <c r="V34" s="76"/>
      <c r="W34" s="77"/>
      <c r="X34" s="77"/>
      <c r="Y34" s="77"/>
      <c r="Z34" s="77"/>
      <c r="AA34" s="77"/>
      <c r="AB34" s="78">
        <f t="shared" si="6"/>
        <v>0</v>
      </c>
      <c r="AC34" s="77"/>
      <c r="AD34" s="79"/>
      <c r="AE34" s="80"/>
      <c r="AF34" s="81"/>
      <c r="AG34" s="79"/>
      <c r="AH34" s="80"/>
      <c r="AI34" s="82"/>
      <c r="AJ34" s="82">
        <f t="shared" si="7"/>
        <v>0</v>
      </c>
      <c r="AK34" s="83"/>
      <c r="AL34" s="84">
        <f t="shared" si="8"/>
        <v>0</v>
      </c>
      <c r="AP34" s="85">
        <f t="shared" si="9"/>
        <v>0</v>
      </c>
      <c r="AQ34" s="20">
        <f t="shared" si="10"/>
        <v>1</v>
      </c>
      <c r="AR34" s="20">
        <f t="shared" si="11"/>
        <v>0</v>
      </c>
      <c r="AS34" s="86">
        <f t="shared" si="12"/>
        <v>0</v>
      </c>
      <c r="AT34" s="87">
        <f t="shared" si="13"/>
        <v>0</v>
      </c>
      <c r="AU34" s="88">
        <f t="shared" si="14"/>
        <v>0</v>
      </c>
      <c r="AV34" s="89" t="str">
        <f t="shared" si="15"/>
        <v>#VALUE!</v>
      </c>
      <c r="AW34" s="90">
        <f t="shared" si="16"/>
        <v>0</v>
      </c>
      <c r="AY34" s="85">
        <f t="shared" si="17"/>
        <v>1</v>
      </c>
      <c r="AZ34" s="20">
        <f t="shared" si="18"/>
        <v>1</v>
      </c>
      <c r="BA34" s="20">
        <f t="shared" si="19"/>
        <v>1</v>
      </c>
      <c r="BB34" s="91">
        <f t="shared" si="20"/>
        <v>0</v>
      </c>
      <c r="BC34" s="87">
        <f t="shared" si="21"/>
        <v>21136.56</v>
      </c>
      <c r="BD34" s="92">
        <f t="shared" si="22"/>
        <v>3.066666667</v>
      </c>
      <c r="BE34" s="89" t="str">
        <f t="shared" si="23"/>
        <v>#VALUE!</v>
      </c>
      <c r="BF34" s="90" t="str">
        <f t="shared" si="24"/>
        <v>#VALUE!</v>
      </c>
      <c r="BH34" s="93">
        <f t="shared" si="25"/>
        <v>21136.56</v>
      </c>
      <c r="BI34" s="94">
        <f t="shared" si="26"/>
        <v>1</v>
      </c>
      <c r="BJ34" s="95" t="str">
        <f t="shared" si="27"/>
        <v>#VALUE!</v>
      </c>
      <c r="BK34" s="96" t="str">
        <f t="shared" si="28"/>
        <v>#VALUE!</v>
      </c>
      <c r="BM34" s="97">
        <f t="shared" si="29"/>
        <v>1</v>
      </c>
    </row>
    <row r="35" ht="12.75" customHeight="1">
      <c r="A35" s="65"/>
      <c r="B35" s="66" t="s">
        <v>112</v>
      </c>
      <c r="C35" s="67">
        <v>25740.0</v>
      </c>
      <c r="D35" s="68">
        <v>4.0</v>
      </c>
      <c r="E35" s="67">
        <v>25492.79</v>
      </c>
      <c r="F35" s="68" t="s">
        <v>64</v>
      </c>
      <c r="G35" s="69">
        <v>39142.0</v>
      </c>
      <c r="H35" s="71" t="s">
        <v>57</v>
      </c>
      <c r="I35" s="69">
        <v>39264.0</v>
      </c>
      <c r="J35" s="71">
        <f t="shared" si="1"/>
        <v>4.066666667</v>
      </c>
      <c r="K35" s="72" t="s">
        <v>113</v>
      </c>
      <c r="L35" s="72">
        <v>25492.79</v>
      </c>
      <c r="M35" s="73">
        <v>386.0</v>
      </c>
      <c r="N35" s="73">
        <v>0.0</v>
      </c>
      <c r="O35" s="73">
        <v>182.91</v>
      </c>
      <c r="P35" s="73">
        <f t="shared" si="2"/>
        <v>0</v>
      </c>
      <c r="Q35" s="73">
        <f t="shared" si="3"/>
        <v>568.91</v>
      </c>
      <c r="R35" s="74">
        <f t="shared" si="4"/>
        <v>0.02231650596</v>
      </c>
      <c r="S35" s="74">
        <f t="shared" si="5"/>
        <v>0.977683494</v>
      </c>
      <c r="T35" s="75"/>
      <c r="V35" s="76"/>
      <c r="W35" s="77"/>
      <c r="X35" s="77"/>
      <c r="Y35" s="77"/>
      <c r="Z35" s="77"/>
      <c r="AA35" s="77"/>
      <c r="AB35" s="78">
        <f t="shared" si="6"/>
        <v>0</v>
      </c>
      <c r="AC35" s="77"/>
      <c r="AD35" s="79"/>
      <c r="AE35" s="80"/>
      <c r="AF35" s="81"/>
      <c r="AG35" s="79"/>
      <c r="AH35" s="80"/>
      <c r="AI35" s="82"/>
      <c r="AJ35" s="82">
        <f t="shared" si="7"/>
        <v>0</v>
      </c>
      <c r="AK35" s="83"/>
      <c r="AL35" s="84">
        <f t="shared" si="8"/>
        <v>0</v>
      </c>
      <c r="AP35" s="85">
        <f t="shared" si="9"/>
        <v>0</v>
      </c>
      <c r="AQ35" s="20">
        <f t="shared" si="10"/>
        <v>1</v>
      </c>
      <c r="AR35" s="20">
        <f t="shared" si="11"/>
        <v>0</v>
      </c>
      <c r="AS35" s="86">
        <f t="shared" si="12"/>
        <v>0</v>
      </c>
      <c r="AT35" s="87">
        <f t="shared" si="13"/>
        <v>0</v>
      </c>
      <c r="AU35" s="88">
        <f t="shared" si="14"/>
        <v>0</v>
      </c>
      <c r="AV35" s="89" t="str">
        <f t="shared" si="15"/>
        <v>#VALUE!</v>
      </c>
      <c r="AW35" s="90">
        <f t="shared" si="16"/>
        <v>0</v>
      </c>
      <c r="AY35" s="85">
        <f t="shared" si="17"/>
        <v>1</v>
      </c>
      <c r="AZ35" s="20">
        <f t="shared" si="18"/>
        <v>1</v>
      </c>
      <c r="BA35" s="20">
        <f t="shared" si="19"/>
        <v>1</v>
      </c>
      <c r="BB35" s="91">
        <f t="shared" si="20"/>
        <v>182.91</v>
      </c>
      <c r="BC35" s="87">
        <f t="shared" si="21"/>
        <v>25492.79</v>
      </c>
      <c r="BD35" s="92">
        <f t="shared" si="22"/>
        <v>4.066666667</v>
      </c>
      <c r="BE35" s="89" t="str">
        <f t="shared" si="23"/>
        <v>#VALUE!</v>
      </c>
      <c r="BF35" s="90" t="str">
        <f t="shared" si="24"/>
        <v>#VALUE!</v>
      </c>
      <c r="BH35" s="93">
        <f t="shared" si="25"/>
        <v>25492.79</v>
      </c>
      <c r="BI35" s="94">
        <f t="shared" si="26"/>
        <v>1</v>
      </c>
      <c r="BJ35" s="95" t="str">
        <f t="shared" si="27"/>
        <v>#VALUE!</v>
      </c>
      <c r="BK35" s="96" t="str">
        <f t="shared" si="28"/>
        <v>#VALUE!</v>
      </c>
      <c r="BM35" s="97">
        <f t="shared" si="29"/>
        <v>1</v>
      </c>
    </row>
    <row r="36" ht="12.75" customHeight="1">
      <c r="A36" s="65"/>
      <c r="B36" s="66" t="s">
        <v>114</v>
      </c>
      <c r="C36" s="67">
        <v>20760.3</v>
      </c>
      <c r="D36" s="68">
        <v>12.0</v>
      </c>
      <c r="E36" s="67">
        <v>20582.46</v>
      </c>
      <c r="F36" s="68" t="s">
        <v>64</v>
      </c>
      <c r="G36" s="69">
        <v>39203.0</v>
      </c>
      <c r="H36" s="71" t="s">
        <v>57</v>
      </c>
      <c r="I36" s="69">
        <v>39234.0</v>
      </c>
      <c r="J36" s="71">
        <f t="shared" si="1"/>
        <v>1.033333333</v>
      </c>
      <c r="K36" s="72" t="s">
        <v>115</v>
      </c>
      <c r="L36" s="72">
        <v>20852.46</v>
      </c>
      <c r="M36" s="73">
        <v>879.0</v>
      </c>
      <c r="N36" s="73">
        <v>0.0</v>
      </c>
      <c r="O36" s="73">
        <v>0.0</v>
      </c>
      <c r="P36" s="73">
        <f t="shared" si="2"/>
        <v>0</v>
      </c>
      <c r="Q36" s="73">
        <f t="shared" si="3"/>
        <v>609</v>
      </c>
      <c r="R36" s="74">
        <f t="shared" si="4"/>
        <v>0.02958829994</v>
      </c>
      <c r="S36" s="74">
        <f t="shared" si="5"/>
        <v>0.9704117001</v>
      </c>
      <c r="T36" s="75"/>
      <c r="V36" s="76"/>
      <c r="W36" s="77"/>
      <c r="X36" s="77"/>
      <c r="Y36" s="77"/>
      <c r="Z36" s="77"/>
      <c r="AA36" s="77"/>
      <c r="AB36" s="78">
        <f t="shared" si="6"/>
        <v>0</v>
      </c>
      <c r="AC36" s="77"/>
      <c r="AD36" s="79"/>
      <c r="AE36" s="80"/>
      <c r="AF36" s="81"/>
      <c r="AG36" s="79"/>
      <c r="AH36" s="80"/>
      <c r="AI36" s="82"/>
      <c r="AJ36" s="82">
        <f t="shared" si="7"/>
        <v>0</v>
      </c>
      <c r="AK36" s="83"/>
      <c r="AL36" s="84">
        <f t="shared" si="8"/>
        <v>0</v>
      </c>
      <c r="AP36" s="85">
        <f t="shared" si="9"/>
        <v>0</v>
      </c>
      <c r="AQ36" s="20">
        <f t="shared" si="10"/>
        <v>1</v>
      </c>
      <c r="AR36" s="20">
        <f t="shared" si="11"/>
        <v>0</v>
      </c>
      <c r="AS36" s="86">
        <f t="shared" si="12"/>
        <v>0</v>
      </c>
      <c r="AT36" s="87">
        <f t="shared" si="13"/>
        <v>0</v>
      </c>
      <c r="AU36" s="88">
        <f t="shared" si="14"/>
        <v>0</v>
      </c>
      <c r="AV36" s="89" t="str">
        <f t="shared" si="15"/>
        <v>#VALUE!</v>
      </c>
      <c r="AW36" s="90">
        <f t="shared" si="16"/>
        <v>0</v>
      </c>
      <c r="AY36" s="85">
        <f t="shared" si="17"/>
        <v>1</v>
      </c>
      <c r="AZ36" s="20">
        <f t="shared" si="18"/>
        <v>1</v>
      </c>
      <c r="BA36" s="20">
        <f t="shared" si="19"/>
        <v>1</v>
      </c>
      <c r="BB36" s="91">
        <f t="shared" si="20"/>
        <v>0</v>
      </c>
      <c r="BC36" s="87">
        <f t="shared" si="21"/>
        <v>20582.46</v>
      </c>
      <c r="BD36" s="92">
        <f t="shared" si="22"/>
        <v>1.033333333</v>
      </c>
      <c r="BE36" s="89" t="str">
        <f t="shared" si="23"/>
        <v>#VALUE!</v>
      </c>
      <c r="BF36" s="90" t="str">
        <f t="shared" si="24"/>
        <v>#VALUE!</v>
      </c>
      <c r="BH36" s="93">
        <f t="shared" si="25"/>
        <v>20582.46</v>
      </c>
      <c r="BI36" s="94">
        <f t="shared" si="26"/>
        <v>1</v>
      </c>
      <c r="BJ36" s="95" t="str">
        <f t="shared" si="27"/>
        <v>#VALUE!</v>
      </c>
      <c r="BK36" s="96" t="str">
        <f t="shared" si="28"/>
        <v>#VALUE!</v>
      </c>
      <c r="BM36" s="97">
        <f t="shared" si="29"/>
        <v>1</v>
      </c>
    </row>
    <row r="37" ht="12.75" customHeight="1">
      <c r="A37" s="65"/>
      <c r="B37" s="66" t="s">
        <v>116</v>
      </c>
      <c r="C37" s="67">
        <v>34435.0</v>
      </c>
      <c r="D37" s="68">
        <v>11.0</v>
      </c>
      <c r="E37" s="67">
        <v>32676.58</v>
      </c>
      <c r="F37" s="68" t="s">
        <v>64</v>
      </c>
      <c r="G37" s="69">
        <v>39234.0</v>
      </c>
      <c r="H37" s="71" t="s">
        <v>57</v>
      </c>
      <c r="I37" s="69">
        <v>39234.0</v>
      </c>
      <c r="J37" s="71">
        <f t="shared" si="1"/>
        <v>0</v>
      </c>
      <c r="K37" s="72" t="s">
        <v>117</v>
      </c>
      <c r="L37" s="72">
        <v>32676.58</v>
      </c>
      <c r="M37" s="73">
        <v>1269.0</v>
      </c>
      <c r="N37" s="73">
        <v>0.0</v>
      </c>
      <c r="O37" s="73">
        <v>0.0</v>
      </c>
      <c r="P37" s="73">
        <f t="shared" si="2"/>
        <v>0</v>
      </c>
      <c r="Q37" s="73">
        <f t="shared" si="3"/>
        <v>1269</v>
      </c>
      <c r="R37" s="74">
        <f t="shared" si="4"/>
        <v>0.0388351535</v>
      </c>
      <c r="S37" s="74">
        <f t="shared" si="5"/>
        <v>0.9611648465</v>
      </c>
      <c r="T37" s="75"/>
      <c r="V37" s="76"/>
      <c r="W37" s="77"/>
      <c r="X37" s="77"/>
      <c r="Y37" s="77"/>
      <c r="Z37" s="77"/>
      <c r="AA37" s="77"/>
      <c r="AB37" s="78">
        <f t="shared" si="6"/>
        <v>0</v>
      </c>
      <c r="AC37" s="77"/>
      <c r="AD37" s="79"/>
      <c r="AE37" s="80"/>
      <c r="AF37" s="81"/>
      <c r="AG37" s="79"/>
      <c r="AH37" s="80"/>
      <c r="AI37" s="82"/>
      <c r="AJ37" s="82">
        <f t="shared" si="7"/>
        <v>0</v>
      </c>
      <c r="AK37" s="83"/>
      <c r="AL37" s="84">
        <f t="shared" si="8"/>
        <v>0</v>
      </c>
      <c r="AP37" s="85">
        <f t="shared" si="9"/>
        <v>0</v>
      </c>
      <c r="AQ37" s="20">
        <f t="shared" si="10"/>
        <v>1</v>
      </c>
      <c r="AR37" s="20">
        <f t="shared" si="11"/>
        <v>0</v>
      </c>
      <c r="AS37" s="86">
        <f t="shared" si="12"/>
        <v>0</v>
      </c>
      <c r="AT37" s="87">
        <f t="shared" si="13"/>
        <v>0</v>
      </c>
      <c r="AU37" s="88">
        <f t="shared" si="14"/>
        <v>0</v>
      </c>
      <c r="AV37" s="89" t="str">
        <f t="shared" si="15"/>
        <v>#VALUE!</v>
      </c>
      <c r="AW37" s="90">
        <f t="shared" si="16"/>
        <v>0</v>
      </c>
      <c r="AY37" s="85">
        <f t="shared" si="17"/>
        <v>1</v>
      </c>
      <c r="AZ37" s="20">
        <f t="shared" si="18"/>
        <v>1</v>
      </c>
      <c r="BA37" s="20">
        <f t="shared" si="19"/>
        <v>1</v>
      </c>
      <c r="BB37" s="91">
        <f t="shared" si="20"/>
        <v>0</v>
      </c>
      <c r="BC37" s="87">
        <f t="shared" si="21"/>
        <v>32676.58</v>
      </c>
      <c r="BD37" s="92">
        <f t="shared" si="22"/>
        <v>0</v>
      </c>
      <c r="BE37" s="89" t="str">
        <f t="shared" si="23"/>
        <v>#VALUE!</v>
      </c>
      <c r="BF37" s="90" t="str">
        <f t="shared" si="24"/>
        <v>#VALUE!</v>
      </c>
      <c r="BH37" s="93">
        <f t="shared" si="25"/>
        <v>32676.58</v>
      </c>
      <c r="BI37" s="94">
        <f t="shared" si="26"/>
        <v>1</v>
      </c>
      <c r="BJ37" s="95" t="str">
        <f t="shared" si="27"/>
        <v>#VALUE!</v>
      </c>
      <c r="BK37" s="96" t="str">
        <f t="shared" si="28"/>
        <v>#VALUE!</v>
      </c>
      <c r="BM37" s="97">
        <f t="shared" si="29"/>
        <v>1</v>
      </c>
    </row>
    <row r="38" ht="12.75" customHeight="1">
      <c r="A38" s="65"/>
      <c r="B38" s="66" t="s">
        <v>118</v>
      </c>
      <c r="C38" s="67">
        <v>16150.0</v>
      </c>
      <c r="D38" s="68">
        <v>13.0</v>
      </c>
      <c r="E38" s="67">
        <v>15020.59</v>
      </c>
      <c r="F38" s="68" t="s">
        <v>56</v>
      </c>
      <c r="G38" s="69">
        <v>39266.0</v>
      </c>
      <c r="H38" s="71" t="s">
        <v>57</v>
      </c>
      <c r="I38" s="69">
        <v>39417.0</v>
      </c>
      <c r="J38" s="71">
        <f t="shared" si="1"/>
        <v>5.033333333</v>
      </c>
      <c r="K38" s="72" t="s">
        <v>119</v>
      </c>
      <c r="L38" s="72">
        <v>18520.59</v>
      </c>
      <c r="M38" s="73">
        <v>1020.6</v>
      </c>
      <c r="N38" s="73">
        <v>0.0</v>
      </c>
      <c r="O38" s="73">
        <v>0.0</v>
      </c>
      <c r="P38" s="73">
        <f t="shared" si="2"/>
        <v>0</v>
      </c>
      <c r="Q38" s="73">
        <f t="shared" si="3"/>
        <v>0</v>
      </c>
      <c r="R38" s="74">
        <f t="shared" si="4"/>
        <v>0</v>
      </c>
      <c r="S38" s="74">
        <f t="shared" si="5"/>
        <v>1</v>
      </c>
      <c r="T38" s="75"/>
      <c r="V38" s="76"/>
      <c r="W38" s="77"/>
      <c r="X38" s="77"/>
      <c r="Y38" s="77"/>
      <c r="Z38" s="77"/>
      <c r="AA38" s="77"/>
      <c r="AB38" s="78">
        <f t="shared" si="6"/>
        <v>0</v>
      </c>
      <c r="AC38" s="77"/>
      <c r="AD38" s="79"/>
      <c r="AE38" s="80"/>
      <c r="AF38" s="81"/>
      <c r="AG38" s="79"/>
      <c r="AH38" s="80"/>
      <c r="AI38" s="82"/>
      <c r="AJ38" s="82">
        <f t="shared" si="7"/>
        <v>0</v>
      </c>
      <c r="AK38" s="83"/>
      <c r="AL38" s="84">
        <f t="shared" si="8"/>
        <v>0</v>
      </c>
      <c r="AP38" s="85">
        <f t="shared" si="9"/>
        <v>1</v>
      </c>
      <c r="AQ38" s="20">
        <f t="shared" si="10"/>
        <v>1</v>
      </c>
      <c r="AR38" s="20">
        <f t="shared" si="11"/>
        <v>1</v>
      </c>
      <c r="AS38" s="86">
        <f t="shared" si="12"/>
        <v>0</v>
      </c>
      <c r="AT38" s="87">
        <f t="shared" si="13"/>
        <v>15020.59</v>
      </c>
      <c r="AU38" s="88">
        <f t="shared" si="14"/>
        <v>5.033333333</v>
      </c>
      <c r="AV38" s="89" t="str">
        <f t="shared" si="15"/>
        <v>#VALUE!</v>
      </c>
      <c r="AW38" s="90" t="str">
        <f t="shared" si="16"/>
        <v>#VALUE!</v>
      </c>
      <c r="AY38" s="85">
        <f t="shared" si="17"/>
        <v>0</v>
      </c>
      <c r="AZ38" s="20">
        <f t="shared" si="18"/>
        <v>1</v>
      </c>
      <c r="BA38" s="20">
        <f t="shared" si="19"/>
        <v>0</v>
      </c>
      <c r="BB38" s="91">
        <f t="shared" si="20"/>
        <v>0</v>
      </c>
      <c r="BC38" s="87">
        <f t="shared" si="21"/>
        <v>0</v>
      </c>
      <c r="BD38" s="92">
        <f t="shared" si="22"/>
        <v>0</v>
      </c>
      <c r="BE38" s="89" t="str">
        <f t="shared" si="23"/>
        <v>#VALUE!</v>
      </c>
      <c r="BF38" s="90">
        <f t="shared" si="24"/>
        <v>0</v>
      </c>
      <c r="BH38" s="93">
        <f t="shared" si="25"/>
        <v>15020.59</v>
      </c>
      <c r="BI38" s="94">
        <f t="shared" si="26"/>
        <v>1</v>
      </c>
      <c r="BJ38" s="95" t="str">
        <f t="shared" si="27"/>
        <v>#VALUE!</v>
      </c>
      <c r="BK38" s="96" t="str">
        <f t="shared" si="28"/>
        <v>#VALUE!</v>
      </c>
      <c r="BM38" s="97">
        <f t="shared" si="29"/>
        <v>1</v>
      </c>
    </row>
    <row r="39" ht="12.75" customHeight="1">
      <c r="A39" s="65"/>
      <c r="B39" s="66" t="s">
        <v>120</v>
      </c>
      <c r="C39" s="67">
        <v>29925.0</v>
      </c>
      <c r="D39" s="68">
        <v>13.0</v>
      </c>
      <c r="E39" s="67">
        <v>26093.22</v>
      </c>
      <c r="F39" s="68" t="s">
        <v>56</v>
      </c>
      <c r="G39" s="69">
        <v>39356.0</v>
      </c>
      <c r="H39" s="71" t="s">
        <v>57</v>
      </c>
      <c r="I39" s="69">
        <v>39448.0</v>
      </c>
      <c r="J39" s="71">
        <f t="shared" si="1"/>
        <v>3.066666667</v>
      </c>
      <c r="K39" s="72" t="s">
        <v>121</v>
      </c>
      <c r="L39" s="72">
        <v>31593.22</v>
      </c>
      <c r="M39" s="73">
        <v>4428.91</v>
      </c>
      <c r="N39" s="73">
        <v>0.0</v>
      </c>
      <c r="O39" s="73">
        <v>0.0</v>
      </c>
      <c r="P39" s="73">
        <f t="shared" si="2"/>
        <v>0</v>
      </c>
      <c r="Q39" s="73">
        <f t="shared" si="3"/>
        <v>0</v>
      </c>
      <c r="R39" s="74">
        <f t="shared" si="4"/>
        <v>0</v>
      </c>
      <c r="S39" s="74">
        <f t="shared" si="5"/>
        <v>1</v>
      </c>
      <c r="T39" s="75"/>
      <c r="V39" s="76"/>
      <c r="W39" s="77"/>
      <c r="X39" s="77"/>
      <c r="Y39" s="77"/>
      <c r="Z39" s="77"/>
      <c r="AA39" s="77"/>
      <c r="AB39" s="78">
        <f t="shared" si="6"/>
        <v>0</v>
      </c>
      <c r="AC39" s="77"/>
      <c r="AD39" s="79"/>
      <c r="AE39" s="80"/>
      <c r="AF39" s="81"/>
      <c r="AG39" s="79"/>
      <c r="AH39" s="80"/>
      <c r="AI39" s="82"/>
      <c r="AJ39" s="82">
        <f t="shared" si="7"/>
        <v>0</v>
      </c>
      <c r="AK39" s="83"/>
      <c r="AL39" s="84">
        <f t="shared" si="8"/>
        <v>0</v>
      </c>
      <c r="AP39" s="85">
        <f t="shared" si="9"/>
        <v>1</v>
      </c>
      <c r="AQ39" s="20">
        <f t="shared" si="10"/>
        <v>1</v>
      </c>
      <c r="AR39" s="20">
        <f t="shared" si="11"/>
        <v>1</v>
      </c>
      <c r="AS39" s="86">
        <f t="shared" si="12"/>
        <v>0</v>
      </c>
      <c r="AT39" s="87">
        <f t="shared" si="13"/>
        <v>26093.22</v>
      </c>
      <c r="AU39" s="88">
        <f t="shared" si="14"/>
        <v>3.066666667</v>
      </c>
      <c r="AV39" s="89" t="str">
        <f t="shared" si="15"/>
        <v>#VALUE!</v>
      </c>
      <c r="AW39" s="90" t="str">
        <f t="shared" si="16"/>
        <v>#VALUE!</v>
      </c>
      <c r="AY39" s="85">
        <f t="shared" si="17"/>
        <v>0</v>
      </c>
      <c r="AZ39" s="20">
        <f t="shared" si="18"/>
        <v>1</v>
      </c>
      <c r="BA39" s="20">
        <f t="shared" si="19"/>
        <v>0</v>
      </c>
      <c r="BB39" s="91">
        <f t="shared" si="20"/>
        <v>0</v>
      </c>
      <c r="BC39" s="87">
        <f t="shared" si="21"/>
        <v>0</v>
      </c>
      <c r="BD39" s="92">
        <f t="shared" si="22"/>
        <v>0</v>
      </c>
      <c r="BE39" s="89" t="str">
        <f t="shared" si="23"/>
        <v>#VALUE!</v>
      </c>
      <c r="BF39" s="90">
        <f t="shared" si="24"/>
        <v>0</v>
      </c>
      <c r="BH39" s="93">
        <f t="shared" si="25"/>
        <v>26093.22</v>
      </c>
      <c r="BI39" s="94">
        <f t="shared" si="26"/>
        <v>1</v>
      </c>
      <c r="BJ39" s="95" t="str">
        <f t="shared" si="27"/>
        <v>#VALUE!</v>
      </c>
      <c r="BK39" s="96" t="str">
        <f t="shared" si="28"/>
        <v>#VALUE!</v>
      </c>
      <c r="BM39" s="97">
        <f t="shared" si="29"/>
        <v>1</v>
      </c>
    </row>
    <row r="40" ht="12.75" customHeight="1">
      <c r="A40" s="65"/>
      <c r="B40" s="66" t="s">
        <v>122</v>
      </c>
      <c r="C40" s="67">
        <v>20900.0</v>
      </c>
      <c r="D40" s="68">
        <v>13.0</v>
      </c>
      <c r="E40" s="67">
        <v>19251.98</v>
      </c>
      <c r="F40" s="68" t="s">
        <v>56</v>
      </c>
      <c r="G40" s="69">
        <v>39377.0</v>
      </c>
      <c r="H40" s="71" t="s">
        <v>57</v>
      </c>
      <c r="I40" s="69">
        <v>40542.0</v>
      </c>
      <c r="J40" s="71">
        <f t="shared" si="1"/>
        <v>38.83333333</v>
      </c>
      <c r="K40" s="72" t="s">
        <v>123</v>
      </c>
      <c r="L40" s="72">
        <v>20250.0</v>
      </c>
      <c r="M40" s="73">
        <v>646.05</v>
      </c>
      <c r="N40" s="73">
        <v>3358.1800000000003</v>
      </c>
      <c r="O40" s="73">
        <v>0.0</v>
      </c>
      <c r="P40" s="73">
        <f t="shared" si="2"/>
        <v>0</v>
      </c>
      <c r="Q40" s="73">
        <f t="shared" si="3"/>
        <v>3006.21</v>
      </c>
      <c r="R40" s="74">
        <f t="shared" si="4"/>
        <v>0.156150692</v>
      </c>
      <c r="S40" s="74">
        <f t="shared" si="5"/>
        <v>0.843849308</v>
      </c>
      <c r="T40" s="75"/>
      <c r="V40" s="76"/>
      <c r="W40" s="77"/>
      <c r="X40" s="77"/>
      <c r="Y40" s="77"/>
      <c r="Z40" s="77"/>
      <c r="AA40" s="77"/>
      <c r="AB40" s="78">
        <f t="shared" si="6"/>
        <v>0</v>
      </c>
      <c r="AC40" s="77"/>
      <c r="AD40" s="79"/>
      <c r="AE40" s="80"/>
      <c r="AF40" s="81"/>
      <c r="AG40" s="79"/>
      <c r="AH40" s="80"/>
      <c r="AI40" s="82"/>
      <c r="AJ40" s="82">
        <f t="shared" si="7"/>
        <v>0</v>
      </c>
      <c r="AK40" s="83"/>
      <c r="AL40" s="84">
        <f t="shared" si="8"/>
        <v>0</v>
      </c>
      <c r="AP40" s="85">
        <f t="shared" si="9"/>
        <v>1</v>
      </c>
      <c r="AQ40" s="20">
        <f t="shared" si="10"/>
        <v>1</v>
      </c>
      <c r="AR40" s="20">
        <f t="shared" si="11"/>
        <v>1</v>
      </c>
      <c r="AS40" s="86">
        <f t="shared" si="12"/>
        <v>3358.18</v>
      </c>
      <c r="AT40" s="87">
        <f t="shared" si="13"/>
        <v>19251.98</v>
      </c>
      <c r="AU40" s="88">
        <f t="shared" si="14"/>
        <v>38.83333333</v>
      </c>
      <c r="AV40" s="89" t="str">
        <f t="shared" si="15"/>
        <v>#VALUE!</v>
      </c>
      <c r="AW40" s="90" t="str">
        <f t="shared" si="16"/>
        <v>#VALUE!</v>
      </c>
      <c r="AY40" s="85">
        <f t="shared" si="17"/>
        <v>0</v>
      </c>
      <c r="AZ40" s="20">
        <f t="shared" si="18"/>
        <v>1</v>
      </c>
      <c r="BA40" s="20">
        <f t="shared" si="19"/>
        <v>0</v>
      </c>
      <c r="BB40" s="91">
        <f t="shared" si="20"/>
        <v>0</v>
      </c>
      <c r="BC40" s="87">
        <f t="shared" si="21"/>
        <v>0</v>
      </c>
      <c r="BD40" s="92">
        <f t="shared" si="22"/>
        <v>0</v>
      </c>
      <c r="BE40" s="89" t="str">
        <f t="shared" si="23"/>
        <v>#VALUE!</v>
      </c>
      <c r="BF40" s="90">
        <f t="shared" si="24"/>
        <v>0</v>
      </c>
      <c r="BH40" s="93">
        <f t="shared" si="25"/>
        <v>19251.98</v>
      </c>
      <c r="BI40" s="94">
        <f t="shared" si="26"/>
        <v>1</v>
      </c>
      <c r="BJ40" s="95" t="str">
        <f t="shared" si="27"/>
        <v>#VALUE!</v>
      </c>
      <c r="BK40" s="96" t="str">
        <f t="shared" si="28"/>
        <v>#VALUE!</v>
      </c>
      <c r="BM40" s="97">
        <f t="shared" si="29"/>
        <v>1</v>
      </c>
    </row>
    <row r="41" ht="12.75" customHeight="1">
      <c r="A41" s="65"/>
      <c r="B41" s="66" t="s">
        <v>124</v>
      </c>
      <c r="C41" s="67">
        <v>21719.39</v>
      </c>
      <c r="D41" s="68">
        <v>13.0</v>
      </c>
      <c r="E41" s="67">
        <v>21707.87</v>
      </c>
      <c r="F41" s="68" t="s">
        <v>56</v>
      </c>
      <c r="G41" s="69">
        <v>39387.0</v>
      </c>
      <c r="H41" s="71" t="s">
        <v>57</v>
      </c>
      <c r="I41" s="69">
        <v>39568.0</v>
      </c>
      <c r="J41" s="71">
        <f t="shared" si="1"/>
        <v>6.033333333</v>
      </c>
      <c r="K41" s="72" t="s">
        <v>125</v>
      </c>
      <c r="L41" s="72">
        <v>23607.87</v>
      </c>
      <c r="M41" s="73">
        <v>621.92</v>
      </c>
      <c r="N41" s="73">
        <v>0.0</v>
      </c>
      <c r="O41" s="73">
        <v>1115.92</v>
      </c>
      <c r="P41" s="73">
        <f t="shared" si="2"/>
        <v>0</v>
      </c>
      <c r="Q41" s="73">
        <f t="shared" si="3"/>
        <v>0</v>
      </c>
      <c r="R41" s="74">
        <f t="shared" si="4"/>
        <v>0</v>
      </c>
      <c r="S41" s="74">
        <f t="shared" si="5"/>
        <v>1</v>
      </c>
      <c r="T41" s="75"/>
      <c r="V41" s="76"/>
      <c r="W41" s="77"/>
      <c r="X41" s="77"/>
      <c r="Y41" s="77"/>
      <c r="Z41" s="77"/>
      <c r="AA41" s="77"/>
      <c r="AB41" s="78">
        <f t="shared" si="6"/>
        <v>0</v>
      </c>
      <c r="AC41" s="77"/>
      <c r="AD41" s="79"/>
      <c r="AE41" s="80"/>
      <c r="AF41" s="81"/>
      <c r="AG41" s="79"/>
      <c r="AH41" s="80"/>
      <c r="AI41" s="82"/>
      <c r="AJ41" s="82">
        <f t="shared" si="7"/>
        <v>0</v>
      </c>
      <c r="AK41" s="83"/>
      <c r="AL41" s="84">
        <f t="shared" si="8"/>
        <v>0</v>
      </c>
      <c r="AP41" s="85">
        <f t="shared" si="9"/>
        <v>1</v>
      </c>
      <c r="AQ41" s="20">
        <f t="shared" si="10"/>
        <v>1</v>
      </c>
      <c r="AR41" s="20">
        <f t="shared" si="11"/>
        <v>1</v>
      </c>
      <c r="AS41" s="86">
        <f t="shared" si="12"/>
        <v>1115.92</v>
      </c>
      <c r="AT41" s="87">
        <f t="shared" si="13"/>
        <v>21707.87</v>
      </c>
      <c r="AU41" s="88">
        <f t="shared" si="14"/>
        <v>6.033333333</v>
      </c>
      <c r="AV41" s="89" t="str">
        <f t="shared" si="15"/>
        <v>#VALUE!</v>
      </c>
      <c r="AW41" s="90" t="str">
        <f t="shared" si="16"/>
        <v>#VALUE!</v>
      </c>
      <c r="AY41" s="85">
        <f t="shared" si="17"/>
        <v>0</v>
      </c>
      <c r="AZ41" s="20">
        <f t="shared" si="18"/>
        <v>1</v>
      </c>
      <c r="BA41" s="20">
        <f t="shared" si="19"/>
        <v>0</v>
      </c>
      <c r="BB41" s="91">
        <f t="shared" si="20"/>
        <v>0</v>
      </c>
      <c r="BC41" s="87">
        <f t="shared" si="21"/>
        <v>0</v>
      </c>
      <c r="BD41" s="92">
        <f t="shared" si="22"/>
        <v>0</v>
      </c>
      <c r="BE41" s="89" t="str">
        <f t="shared" si="23"/>
        <v>#VALUE!</v>
      </c>
      <c r="BF41" s="90">
        <f t="shared" si="24"/>
        <v>0</v>
      </c>
      <c r="BH41" s="93">
        <f t="shared" si="25"/>
        <v>21707.87</v>
      </c>
      <c r="BI41" s="94">
        <f t="shared" si="26"/>
        <v>1</v>
      </c>
      <c r="BJ41" s="95" t="str">
        <f t="shared" si="27"/>
        <v>#VALUE!</v>
      </c>
      <c r="BK41" s="96" t="str">
        <f t="shared" si="28"/>
        <v>#VALUE!</v>
      </c>
      <c r="BM41" s="97">
        <f t="shared" si="29"/>
        <v>1</v>
      </c>
    </row>
    <row r="42" ht="12.75" customHeight="1">
      <c r="A42" s="65"/>
      <c r="B42" s="66" t="s">
        <v>126</v>
      </c>
      <c r="C42" s="67">
        <v>28000.0</v>
      </c>
      <c r="D42" s="68">
        <v>13.0</v>
      </c>
      <c r="E42" s="67">
        <v>27170.34</v>
      </c>
      <c r="F42" s="68" t="s">
        <v>56</v>
      </c>
      <c r="G42" s="69">
        <v>39479.0</v>
      </c>
      <c r="H42" s="71" t="s">
        <v>57</v>
      </c>
      <c r="I42" s="69">
        <v>39873.0</v>
      </c>
      <c r="J42" s="71">
        <f t="shared" si="1"/>
        <v>13.13333333</v>
      </c>
      <c r="K42" s="98" t="s">
        <v>127</v>
      </c>
      <c r="L42" s="72">
        <v>31670.34</v>
      </c>
      <c r="M42" s="73">
        <v>549.18</v>
      </c>
      <c r="N42" s="73">
        <v>4445.79</v>
      </c>
      <c r="O42" s="73">
        <v>0.0</v>
      </c>
      <c r="P42" s="73">
        <f t="shared" si="2"/>
        <v>0</v>
      </c>
      <c r="Q42" s="73">
        <f t="shared" si="3"/>
        <v>494.97</v>
      </c>
      <c r="R42" s="74">
        <f t="shared" si="4"/>
        <v>0.01821729136</v>
      </c>
      <c r="S42" s="74">
        <f t="shared" si="5"/>
        <v>0.9817827086</v>
      </c>
      <c r="T42" s="75"/>
      <c r="V42" s="76"/>
      <c r="W42" s="77"/>
      <c r="X42" s="77"/>
      <c r="Y42" s="77"/>
      <c r="Z42" s="77"/>
      <c r="AA42" s="77"/>
      <c r="AB42" s="78">
        <f t="shared" si="6"/>
        <v>0</v>
      </c>
      <c r="AC42" s="77"/>
      <c r="AD42" s="79"/>
      <c r="AE42" s="80"/>
      <c r="AF42" s="81"/>
      <c r="AG42" s="79"/>
      <c r="AH42" s="80"/>
      <c r="AI42" s="82"/>
      <c r="AJ42" s="82">
        <f t="shared" si="7"/>
        <v>0</v>
      </c>
      <c r="AK42" s="83"/>
      <c r="AL42" s="84">
        <f t="shared" si="8"/>
        <v>0</v>
      </c>
      <c r="AP42" s="85">
        <f t="shared" si="9"/>
        <v>1</v>
      </c>
      <c r="AQ42" s="20">
        <f t="shared" si="10"/>
        <v>1</v>
      </c>
      <c r="AR42" s="20">
        <f t="shared" si="11"/>
        <v>1</v>
      </c>
      <c r="AS42" s="86">
        <f t="shared" si="12"/>
        <v>4445.79</v>
      </c>
      <c r="AT42" s="87">
        <f t="shared" si="13"/>
        <v>27170.34</v>
      </c>
      <c r="AU42" s="88">
        <f t="shared" si="14"/>
        <v>13.13333333</v>
      </c>
      <c r="AV42" s="89" t="str">
        <f t="shared" si="15"/>
        <v>#VALUE!</v>
      </c>
      <c r="AW42" s="90" t="str">
        <f t="shared" si="16"/>
        <v>#VALUE!</v>
      </c>
      <c r="AY42" s="85">
        <f t="shared" si="17"/>
        <v>0</v>
      </c>
      <c r="AZ42" s="20">
        <f t="shared" si="18"/>
        <v>1</v>
      </c>
      <c r="BA42" s="20">
        <f t="shared" si="19"/>
        <v>0</v>
      </c>
      <c r="BB42" s="91">
        <f t="shared" si="20"/>
        <v>0</v>
      </c>
      <c r="BC42" s="87">
        <f t="shared" si="21"/>
        <v>0</v>
      </c>
      <c r="BD42" s="92">
        <f t="shared" si="22"/>
        <v>0</v>
      </c>
      <c r="BE42" s="89" t="str">
        <f t="shared" si="23"/>
        <v>#VALUE!</v>
      </c>
      <c r="BF42" s="90">
        <f t="shared" si="24"/>
        <v>0</v>
      </c>
      <c r="BH42" s="93">
        <f t="shared" si="25"/>
        <v>27170.34</v>
      </c>
      <c r="BI42" s="94">
        <f t="shared" si="26"/>
        <v>1</v>
      </c>
      <c r="BJ42" s="95" t="str">
        <f t="shared" si="27"/>
        <v>#VALUE!</v>
      </c>
      <c r="BK42" s="96" t="str">
        <f t="shared" si="28"/>
        <v>#VALUE!</v>
      </c>
      <c r="BM42" s="97">
        <f t="shared" si="29"/>
        <v>1</v>
      </c>
    </row>
    <row r="43" ht="12.75" customHeight="1">
      <c r="A43" s="65"/>
      <c r="B43" s="66" t="s">
        <v>128</v>
      </c>
      <c r="C43" s="67">
        <v>39525.0</v>
      </c>
      <c r="D43" s="68">
        <v>13.0</v>
      </c>
      <c r="E43" s="67">
        <f>21709.81+16914.53</f>
        <v>38624.34</v>
      </c>
      <c r="F43" s="68" t="s">
        <v>64</v>
      </c>
      <c r="G43" s="69">
        <v>39508.0</v>
      </c>
      <c r="H43" s="71" t="s">
        <v>57</v>
      </c>
      <c r="I43" s="69">
        <v>39568.0</v>
      </c>
      <c r="J43" s="71">
        <f t="shared" si="1"/>
        <v>2</v>
      </c>
      <c r="K43" s="72" t="s">
        <v>129</v>
      </c>
      <c r="L43" s="72">
        <v>39500.0</v>
      </c>
      <c r="M43" s="73">
        <v>1495.94</v>
      </c>
      <c r="N43" s="73">
        <v>0.0</v>
      </c>
      <c r="O43" s="73">
        <v>2174.7</v>
      </c>
      <c r="P43" s="73">
        <f t="shared" si="2"/>
        <v>0</v>
      </c>
      <c r="Q43" s="73">
        <f t="shared" si="3"/>
        <v>2794.98</v>
      </c>
      <c r="R43" s="74">
        <f t="shared" si="4"/>
        <v>0.07236317824</v>
      </c>
      <c r="S43" s="74">
        <f t="shared" si="5"/>
        <v>0.9276368218</v>
      </c>
      <c r="T43" s="75"/>
      <c r="V43" s="76"/>
      <c r="W43" s="77"/>
      <c r="X43" s="77"/>
      <c r="Y43" s="77"/>
      <c r="Z43" s="77"/>
      <c r="AA43" s="77"/>
      <c r="AB43" s="78">
        <f t="shared" si="6"/>
        <v>0</v>
      </c>
      <c r="AC43" s="77"/>
      <c r="AD43" s="79"/>
      <c r="AE43" s="80"/>
      <c r="AF43" s="81"/>
      <c r="AG43" s="79"/>
      <c r="AH43" s="80"/>
      <c r="AI43" s="82"/>
      <c r="AJ43" s="82">
        <f t="shared" si="7"/>
        <v>0</v>
      </c>
      <c r="AK43" s="83"/>
      <c r="AL43" s="84">
        <f t="shared" si="8"/>
        <v>0</v>
      </c>
      <c r="AP43" s="85">
        <f t="shared" si="9"/>
        <v>0</v>
      </c>
      <c r="AQ43" s="20">
        <f t="shared" si="10"/>
        <v>1</v>
      </c>
      <c r="AR43" s="20">
        <f t="shared" si="11"/>
        <v>0</v>
      </c>
      <c r="AS43" s="86">
        <f t="shared" si="12"/>
        <v>0</v>
      </c>
      <c r="AT43" s="87">
        <f t="shared" si="13"/>
        <v>0</v>
      </c>
      <c r="AU43" s="88">
        <f t="shared" si="14"/>
        <v>0</v>
      </c>
      <c r="AV43" s="89" t="str">
        <f t="shared" si="15"/>
        <v>#VALUE!</v>
      </c>
      <c r="AW43" s="90">
        <f t="shared" si="16"/>
        <v>0</v>
      </c>
      <c r="AY43" s="85">
        <f t="shared" si="17"/>
        <v>1</v>
      </c>
      <c r="AZ43" s="20">
        <f t="shared" si="18"/>
        <v>1</v>
      </c>
      <c r="BA43" s="20">
        <f t="shared" si="19"/>
        <v>1</v>
      </c>
      <c r="BB43" s="91">
        <f t="shared" si="20"/>
        <v>2174.7</v>
      </c>
      <c r="BC43" s="87">
        <f t="shared" si="21"/>
        <v>38624.34</v>
      </c>
      <c r="BD43" s="92">
        <f t="shared" si="22"/>
        <v>2</v>
      </c>
      <c r="BE43" s="89" t="str">
        <f t="shared" si="23"/>
        <v>#VALUE!</v>
      </c>
      <c r="BF43" s="90" t="str">
        <f t="shared" si="24"/>
        <v>#VALUE!</v>
      </c>
      <c r="BH43" s="93">
        <f t="shared" si="25"/>
        <v>38624.34</v>
      </c>
      <c r="BI43" s="94">
        <f t="shared" si="26"/>
        <v>1</v>
      </c>
      <c r="BJ43" s="95" t="str">
        <f t="shared" si="27"/>
        <v>#VALUE!</v>
      </c>
      <c r="BK43" s="96" t="str">
        <f t="shared" si="28"/>
        <v>#VALUE!</v>
      </c>
      <c r="BM43" s="97">
        <f t="shared" si="29"/>
        <v>1</v>
      </c>
    </row>
    <row r="44" ht="12.75" customHeight="1">
      <c r="A44" s="65"/>
      <c r="B44" s="66" t="s">
        <v>130</v>
      </c>
      <c r="C44" s="67">
        <v>34613.6</v>
      </c>
      <c r="D44" s="68">
        <v>13.0</v>
      </c>
      <c r="E44" s="67">
        <v>32618.4</v>
      </c>
      <c r="F44" s="68" t="s">
        <v>64</v>
      </c>
      <c r="G44" s="69">
        <v>39508.0</v>
      </c>
      <c r="H44" s="71" t="s">
        <v>57</v>
      </c>
      <c r="I44" s="69">
        <v>39587.0</v>
      </c>
      <c r="J44" s="71">
        <f t="shared" si="1"/>
        <v>2.633333333</v>
      </c>
      <c r="K44" s="72" t="s">
        <v>131</v>
      </c>
      <c r="L44" s="72">
        <v>33624.74</v>
      </c>
      <c r="M44" s="73">
        <v>703.37</v>
      </c>
      <c r="N44" s="73">
        <v>406.18</v>
      </c>
      <c r="O44" s="73">
        <v>985.13</v>
      </c>
      <c r="P44" s="73">
        <v>0.0</v>
      </c>
      <c r="Q44" s="73">
        <f t="shared" si="3"/>
        <v>1088.34</v>
      </c>
      <c r="R44" s="74">
        <f t="shared" si="4"/>
        <v>0.03336583033</v>
      </c>
      <c r="S44" s="74">
        <f t="shared" si="5"/>
        <v>0.9666341697</v>
      </c>
      <c r="T44" s="75"/>
      <c r="V44" s="76"/>
      <c r="W44" s="77"/>
      <c r="X44" s="77"/>
      <c r="Y44" s="77"/>
      <c r="Z44" s="77"/>
      <c r="AA44" s="77"/>
      <c r="AB44" s="78">
        <f t="shared" si="6"/>
        <v>0</v>
      </c>
      <c r="AC44" s="77"/>
      <c r="AD44" s="79"/>
      <c r="AE44" s="80"/>
      <c r="AF44" s="81"/>
      <c r="AG44" s="79"/>
      <c r="AH44" s="80"/>
      <c r="AI44" s="82"/>
      <c r="AJ44" s="82">
        <f t="shared" si="7"/>
        <v>0</v>
      </c>
      <c r="AK44" s="83"/>
      <c r="AL44" s="84">
        <f t="shared" si="8"/>
        <v>0</v>
      </c>
      <c r="AP44" s="85">
        <f t="shared" si="9"/>
        <v>0</v>
      </c>
      <c r="AQ44" s="20">
        <f t="shared" si="10"/>
        <v>1</v>
      </c>
      <c r="AR44" s="20">
        <f t="shared" si="11"/>
        <v>0</v>
      </c>
      <c r="AS44" s="86">
        <f t="shared" si="12"/>
        <v>0</v>
      </c>
      <c r="AT44" s="87">
        <f t="shared" si="13"/>
        <v>0</v>
      </c>
      <c r="AU44" s="88">
        <f t="shared" si="14"/>
        <v>0</v>
      </c>
      <c r="AV44" s="89" t="str">
        <f t="shared" si="15"/>
        <v>#VALUE!</v>
      </c>
      <c r="AW44" s="90">
        <f t="shared" si="16"/>
        <v>0</v>
      </c>
      <c r="AY44" s="85">
        <f t="shared" si="17"/>
        <v>1</v>
      </c>
      <c r="AZ44" s="20">
        <f t="shared" si="18"/>
        <v>1</v>
      </c>
      <c r="BA44" s="20">
        <f t="shared" si="19"/>
        <v>1</v>
      </c>
      <c r="BB44" s="91">
        <f t="shared" si="20"/>
        <v>1391.31</v>
      </c>
      <c r="BC44" s="87">
        <f t="shared" si="21"/>
        <v>32618.4</v>
      </c>
      <c r="BD44" s="92">
        <f t="shared" si="22"/>
        <v>2.633333333</v>
      </c>
      <c r="BE44" s="89" t="str">
        <f t="shared" si="23"/>
        <v>#VALUE!</v>
      </c>
      <c r="BF44" s="90" t="str">
        <f t="shared" si="24"/>
        <v>#VALUE!</v>
      </c>
      <c r="BH44" s="93">
        <f t="shared" si="25"/>
        <v>32618.4</v>
      </c>
      <c r="BI44" s="94">
        <f t="shared" si="26"/>
        <v>1</v>
      </c>
      <c r="BJ44" s="95" t="str">
        <f t="shared" si="27"/>
        <v>#VALUE!</v>
      </c>
      <c r="BK44" s="96" t="str">
        <f t="shared" si="28"/>
        <v>#VALUE!</v>
      </c>
      <c r="BM44" s="97">
        <f t="shared" si="29"/>
        <v>1</v>
      </c>
    </row>
    <row r="45" ht="12.75" customHeight="1">
      <c r="A45" s="65"/>
      <c r="B45" s="66" t="s">
        <v>132</v>
      </c>
      <c r="C45" s="67">
        <v>24300.0</v>
      </c>
      <c r="D45" s="68">
        <v>11.0</v>
      </c>
      <c r="E45" s="67">
        <f>13749.01+10267.39</f>
        <v>24016.4</v>
      </c>
      <c r="F45" s="68" t="s">
        <v>56</v>
      </c>
      <c r="G45" s="69">
        <v>39508.0</v>
      </c>
      <c r="H45" s="71" t="s">
        <v>57</v>
      </c>
      <c r="I45" s="69">
        <v>39627.0</v>
      </c>
      <c r="J45" s="71">
        <f t="shared" si="1"/>
        <v>3.966666667</v>
      </c>
      <c r="K45" s="72" t="s">
        <v>133</v>
      </c>
      <c r="L45" s="72">
        <v>23800.15</v>
      </c>
      <c r="M45" s="73">
        <v>334.23</v>
      </c>
      <c r="N45" s="73">
        <v>0.0</v>
      </c>
      <c r="O45" s="73">
        <v>0.0</v>
      </c>
      <c r="P45" s="73">
        <f t="shared" ref="P45:P48" si="30">IF(L45="N/A",0,IF(L45-E45&gt;0,0,E45-L45))</f>
        <v>216.25</v>
      </c>
      <c r="Q45" s="73">
        <f t="shared" si="3"/>
        <v>550.48</v>
      </c>
      <c r="R45" s="74">
        <f t="shared" si="4"/>
        <v>0.02292100398</v>
      </c>
      <c r="S45" s="74">
        <f t="shared" si="5"/>
        <v>0.977078996</v>
      </c>
      <c r="T45" s="75"/>
      <c r="V45" s="76"/>
      <c r="W45" s="77"/>
      <c r="X45" s="77"/>
      <c r="Y45" s="77"/>
      <c r="Z45" s="77"/>
      <c r="AA45" s="77"/>
      <c r="AB45" s="78">
        <f t="shared" si="6"/>
        <v>0</v>
      </c>
      <c r="AC45" s="77"/>
      <c r="AD45" s="79"/>
      <c r="AE45" s="80"/>
      <c r="AF45" s="81"/>
      <c r="AG45" s="79"/>
      <c r="AH45" s="80"/>
      <c r="AI45" s="82"/>
      <c r="AJ45" s="82">
        <f t="shared" si="7"/>
        <v>0</v>
      </c>
      <c r="AK45" s="83"/>
      <c r="AL45" s="84">
        <f t="shared" si="8"/>
        <v>0</v>
      </c>
      <c r="AP45" s="85">
        <f t="shared" si="9"/>
        <v>1</v>
      </c>
      <c r="AQ45" s="20">
        <f t="shared" si="10"/>
        <v>1</v>
      </c>
      <c r="AR45" s="20">
        <f t="shared" si="11"/>
        <v>1</v>
      </c>
      <c r="AS45" s="86">
        <f t="shared" si="12"/>
        <v>0</v>
      </c>
      <c r="AT45" s="87">
        <f t="shared" si="13"/>
        <v>24016.4</v>
      </c>
      <c r="AU45" s="88">
        <f t="shared" si="14"/>
        <v>3.966666667</v>
      </c>
      <c r="AV45" s="89" t="str">
        <f t="shared" si="15"/>
        <v>#VALUE!</v>
      </c>
      <c r="AW45" s="90" t="str">
        <f t="shared" si="16"/>
        <v>#VALUE!</v>
      </c>
      <c r="AY45" s="85">
        <f t="shared" si="17"/>
        <v>0</v>
      </c>
      <c r="AZ45" s="20">
        <f t="shared" si="18"/>
        <v>1</v>
      </c>
      <c r="BA45" s="20">
        <f t="shared" si="19"/>
        <v>0</v>
      </c>
      <c r="BB45" s="91">
        <f t="shared" si="20"/>
        <v>0</v>
      </c>
      <c r="BC45" s="87">
        <f t="shared" si="21"/>
        <v>0</v>
      </c>
      <c r="BD45" s="92">
        <f t="shared" si="22"/>
        <v>0</v>
      </c>
      <c r="BE45" s="89" t="str">
        <f t="shared" si="23"/>
        <v>#VALUE!</v>
      </c>
      <c r="BF45" s="90">
        <f t="shared" si="24"/>
        <v>0</v>
      </c>
      <c r="BH45" s="93">
        <f t="shared" si="25"/>
        <v>24016.4</v>
      </c>
      <c r="BI45" s="94">
        <f t="shared" si="26"/>
        <v>1</v>
      </c>
      <c r="BJ45" s="95" t="str">
        <f t="shared" si="27"/>
        <v>#VALUE!</v>
      </c>
      <c r="BK45" s="96" t="str">
        <f t="shared" si="28"/>
        <v>#VALUE!</v>
      </c>
      <c r="BM45" s="97">
        <f t="shared" si="29"/>
        <v>1</v>
      </c>
    </row>
    <row r="46" ht="12.75" customHeight="1">
      <c r="A46" s="65"/>
      <c r="B46" s="66" t="s">
        <v>134</v>
      </c>
      <c r="C46" s="67">
        <v>22729.59</v>
      </c>
      <c r="D46" s="68">
        <v>9.0</v>
      </c>
      <c r="E46" s="67">
        <v>21923.52</v>
      </c>
      <c r="F46" s="68" t="s">
        <v>64</v>
      </c>
      <c r="G46" s="69">
        <v>39508.0</v>
      </c>
      <c r="H46" s="71" t="s">
        <v>57</v>
      </c>
      <c r="I46" s="69">
        <v>39629.0</v>
      </c>
      <c r="J46" s="71">
        <f t="shared" si="1"/>
        <v>4.033333333</v>
      </c>
      <c r="K46" s="72" t="s">
        <v>135</v>
      </c>
      <c r="L46" s="72">
        <v>21923.52</v>
      </c>
      <c r="M46" s="73">
        <v>226.99</v>
      </c>
      <c r="N46" s="73">
        <v>0.0</v>
      </c>
      <c r="O46" s="73">
        <v>0.0</v>
      </c>
      <c r="P46" s="73">
        <f t="shared" si="30"/>
        <v>0</v>
      </c>
      <c r="Q46" s="73">
        <f t="shared" si="3"/>
        <v>226.99</v>
      </c>
      <c r="R46" s="74">
        <f t="shared" si="4"/>
        <v>0.01035372057</v>
      </c>
      <c r="S46" s="74">
        <f t="shared" si="5"/>
        <v>0.9896462794</v>
      </c>
      <c r="T46" s="75"/>
      <c r="V46" s="76"/>
      <c r="W46" s="77"/>
      <c r="X46" s="77"/>
      <c r="Y46" s="77"/>
      <c r="Z46" s="77"/>
      <c r="AA46" s="77"/>
      <c r="AB46" s="78">
        <f t="shared" si="6"/>
        <v>0</v>
      </c>
      <c r="AC46" s="77"/>
      <c r="AD46" s="79"/>
      <c r="AE46" s="80"/>
      <c r="AF46" s="81"/>
      <c r="AG46" s="79"/>
      <c r="AH46" s="80"/>
      <c r="AI46" s="82"/>
      <c r="AJ46" s="82">
        <f t="shared" si="7"/>
        <v>0</v>
      </c>
      <c r="AK46" s="83"/>
      <c r="AL46" s="84">
        <f t="shared" si="8"/>
        <v>0</v>
      </c>
      <c r="AP46" s="85">
        <f t="shared" si="9"/>
        <v>0</v>
      </c>
      <c r="AQ46" s="20">
        <f t="shared" si="10"/>
        <v>1</v>
      </c>
      <c r="AR46" s="20">
        <f t="shared" si="11"/>
        <v>0</v>
      </c>
      <c r="AS46" s="86">
        <f t="shared" si="12"/>
        <v>0</v>
      </c>
      <c r="AT46" s="87">
        <f t="shared" si="13"/>
        <v>0</v>
      </c>
      <c r="AU46" s="88">
        <f t="shared" si="14"/>
        <v>0</v>
      </c>
      <c r="AV46" s="89" t="str">
        <f t="shared" si="15"/>
        <v>#VALUE!</v>
      </c>
      <c r="AW46" s="90">
        <f t="shared" si="16"/>
        <v>0</v>
      </c>
      <c r="AY46" s="85">
        <f t="shared" si="17"/>
        <v>1</v>
      </c>
      <c r="AZ46" s="20">
        <f t="shared" si="18"/>
        <v>1</v>
      </c>
      <c r="BA46" s="20">
        <f t="shared" si="19"/>
        <v>1</v>
      </c>
      <c r="BB46" s="91">
        <f t="shared" si="20"/>
        <v>0</v>
      </c>
      <c r="BC46" s="87">
        <f t="shared" si="21"/>
        <v>21923.52</v>
      </c>
      <c r="BD46" s="92">
        <f t="shared" si="22"/>
        <v>4.033333333</v>
      </c>
      <c r="BE46" s="89" t="str">
        <f t="shared" si="23"/>
        <v>#VALUE!</v>
      </c>
      <c r="BF46" s="90" t="str">
        <f t="shared" si="24"/>
        <v>#VALUE!</v>
      </c>
      <c r="BH46" s="93">
        <f t="shared" si="25"/>
        <v>21923.52</v>
      </c>
      <c r="BI46" s="94">
        <f t="shared" si="26"/>
        <v>1</v>
      </c>
      <c r="BJ46" s="95" t="str">
        <f t="shared" si="27"/>
        <v>#VALUE!</v>
      </c>
      <c r="BK46" s="96" t="str">
        <f t="shared" si="28"/>
        <v>#VALUE!</v>
      </c>
      <c r="BM46" s="97">
        <f t="shared" si="29"/>
        <v>1</v>
      </c>
    </row>
    <row r="47" ht="12.75" customHeight="1">
      <c r="A47" s="65"/>
      <c r="B47" s="66" t="s">
        <v>136</v>
      </c>
      <c r="C47" s="67">
        <v>25200.0</v>
      </c>
      <c r="D47" s="68">
        <v>13.0</v>
      </c>
      <c r="E47" s="67">
        <f>4779.43+20240.45</f>
        <v>25019.88</v>
      </c>
      <c r="F47" s="68" t="s">
        <v>64</v>
      </c>
      <c r="G47" s="69">
        <v>39508.0</v>
      </c>
      <c r="H47" s="71" t="s">
        <v>57</v>
      </c>
      <c r="I47" s="69">
        <v>39781.0</v>
      </c>
      <c r="J47" s="71">
        <f t="shared" si="1"/>
        <v>9.1</v>
      </c>
      <c r="K47" s="72" t="s">
        <v>137</v>
      </c>
      <c r="L47" s="72">
        <v>27685.0</v>
      </c>
      <c r="M47" s="73">
        <v>2410.17</v>
      </c>
      <c r="N47" s="73">
        <v>0.0</v>
      </c>
      <c r="O47" s="73">
        <v>4091.36</v>
      </c>
      <c r="P47" s="73">
        <f t="shared" si="30"/>
        <v>0</v>
      </c>
      <c r="Q47" s="73">
        <f t="shared" si="3"/>
        <v>3836.41</v>
      </c>
      <c r="R47" s="74">
        <f t="shared" si="4"/>
        <v>0.1533344684</v>
      </c>
      <c r="S47" s="74">
        <f t="shared" si="5"/>
        <v>0.8466655316</v>
      </c>
      <c r="T47" s="75"/>
      <c r="V47" s="76"/>
      <c r="W47" s="77"/>
      <c r="X47" s="77"/>
      <c r="Y47" s="77"/>
      <c r="Z47" s="77"/>
      <c r="AA47" s="77"/>
      <c r="AB47" s="78">
        <f t="shared" si="6"/>
        <v>0</v>
      </c>
      <c r="AC47" s="77"/>
      <c r="AD47" s="79"/>
      <c r="AE47" s="80"/>
      <c r="AF47" s="81"/>
      <c r="AG47" s="79"/>
      <c r="AH47" s="80"/>
      <c r="AI47" s="82"/>
      <c r="AJ47" s="82">
        <f t="shared" si="7"/>
        <v>0</v>
      </c>
      <c r="AK47" s="83"/>
      <c r="AL47" s="84">
        <f t="shared" si="8"/>
        <v>0</v>
      </c>
      <c r="AP47" s="85">
        <f t="shared" si="9"/>
        <v>0</v>
      </c>
      <c r="AQ47" s="20">
        <f t="shared" si="10"/>
        <v>1</v>
      </c>
      <c r="AR47" s="20">
        <f t="shared" si="11"/>
        <v>0</v>
      </c>
      <c r="AS47" s="86">
        <f t="shared" si="12"/>
        <v>0</v>
      </c>
      <c r="AT47" s="87">
        <f t="shared" si="13"/>
        <v>0</v>
      </c>
      <c r="AU47" s="88">
        <f t="shared" si="14"/>
        <v>0</v>
      </c>
      <c r="AV47" s="89" t="str">
        <f t="shared" si="15"/>
        <v>#VALUE!</v>
      </c>
      <c r="AW47" s="90">
        <f t="shared" si="16"/>
        <v>0</v>
      </c>
      <c r="AY47" s="85">
        <f t="shared" si="17"/>
        <v>1</v>
      </c>
      <c r="AZ47" s="20">
        <f t="shared" si="18"/>
        <v>1</v>
      </c>
      <c r="BA47" s="20">
        <f t="shared" si="19"/>
        <v>1</v>
      </c>
      <c r="BB47" s="91">
        <f t="shared" si="20"/>
        <v>4091.36</v>
      </c>
      <c r="BC47" s="87">
        <f t="shared" si="21"/>
        <v>25019.88</v>
      </c>
      <c r="BD47" s="92">
        <f t="shared" si="22"/>
        <v>9.1</v>
      </c>
      <c r="BE47" s="89" t="str">
        <f t="shared" si="23"/>
        <v>#VALUE!</v>
      </c>
      <c r="BF47" s="90" t="str">
        <f t="shared" si="24"/>
        <v>#VALUE!</v>
      </c>
      <c r="BH47" s="93">
        <f t="shared" si="25"/>
        <v>25019.88</v>
      </c>
      <c r="BI47" s="94">
        <f t="shared" si="26"/>
        <v>1</v>
      </c>
      <c r="BJ47" s="95" t="str">
        <f t="shared" si="27"/>
        <v>#VALUE!</v>
      </c>
      <c r="BK47" s="96" t="str">
        <f t="shared" si="28"/>
        <v>#VALUE!</v>
      </c>
      <c r="BM47" s="97">
        <f t="shared" si="29"/>
        <v>1</v>
      </c>
    </row>
    <row r="48" ht="12.75" customHeight="1">
      <c r="A48" s="65"/>
      <c r="B48" s="66" t="s">
        <v>138</v>
      </c>
      <c r="C48" s="67">
        <v>22381.0</v>
      </c>
      <c r="D48" s="68">
        <v>9.0</v>
      </c>
      <c r="E48" s="67">
        <v>22160.42</v>
      </c>
      <c r="F48" s="68" t="s">
        <v>64</v>
      </c>
      <c r="G48" s="69">
        <v>39568.0</v>
      </c>
      <c r="H48" s="71" t="s">
        <v>57</v>
      </c>
      <c r="I48" s="69">
        <v>39656.0</v>
      </c>
      <c r="J48" s="71">
        <f t="shared" si="1"/>
        <v>2.933333333</v>
      </c>
      <c r="K48" s="72" t="s">
        <v>139</v>
      </c>
      <c r="L48" s="72">
        <v>24160.42</v>
      </c>
      <c r="M48" s="73">
        <v>413.78</v>
      </c>
      <c r="N48" s="73">
        <v>0.0</v>
      </c>
      <c r="O48" s="73">
        <v>0.0</v>
      </c>
      <c r="P48" s="73">
        <f t="shared" si="30"/>
        <v>0</v>
      </c>
      <c r="Q48" s="73">
        <f t="shared" si="3"/>
        <v>0</v>
      </c>
      <c r="R48" s="74">
        <f t="shared" si="4"/>
        <v>0</v>
      </c>
      <c r="S48" s="74">
        <f t="shared" si="5"/>
        <v>1</v>
      </c>
      <c r="T48" s="75"/>
      <c r="V48" s="76"/>
      <c r="W48" s="77"/>
      <c r="X48" s="77"/>
      <c r="Y48" s="77"/>
      <c r="Z48" s="77"/>
      <c r="AA48" s="77"/>
      <c r="AB48" s="78">
        <f t="shared" si="6"/>
        <v>0</v>
      </c>
      <c r="AC48" s="77"/>
      <c r="AD48" s="79"/>
      <c r="AE48" s="80"/>
      <c r="AF48" s="81"/>
      <c r="AG48" s="79"/>
      <c r="AH48" s="80"/>
      <c r="AI48" s="82"/>
      <c r="AJ48" s="82">
        <f t="shared" si="7"/>
        <v>0</v>
      </c>
      <c r="AK48" s="83"/>
      <c r="AL48" s="84">
        <f t="shared" si="8"/>
        <v>0</v>
      </c>
      <c r="AP48" s="85">
        <f t="shared" si="9"/>
        <v>0</v>
      </c>
      <c r="AQ48" s="20">
        <f t="shared" si="10"/>
        <v>1</v>
      </c>
      <c r="AR48" s="20">
        <f t="shared" si="11"/>
        <v>0</v>
      </c>
      <c r="AS48" s="86">
        <f t="shared" si="12"/>
        <v>0</v>
      </c>
      <c r="AT48" s="87">
        <f t="shared" si="13"/>
        <v>0</v>
      </c>
      <c r="AU48" s="88">
        <f t="shared" si="14"/>
        <v>0</v>
      </c>
      <c r="AV48" s="89" t="str">
        <f t="shared" si="15"/>
        <v>#VALUE!</v>
      </c>
      <c r="AW48" s="90">
        <f t="shared" si="16"/>
        <v>0</v>
      </c>
      <c r="AY48" s="85">
        <f t="shared" si="17"/>
        <v>1</v>
      </c>
      <c r="AZ48" s="20">
        <f t="shared" si="18"/>
        <v>1</v>
      </c>
      <c r="BA48" s="20">
        <f t="shared" si="19"/>
        <v>1</v>
      </c>
      <c r="BB48" s="91">
        <f t="shared" si="20"/>
        <v>0</v>
      </c>
      <c r="BC48" s="87">
        <f t="shared" si="21"/>
        <v>22160.42</v>
      </c>
      <c r="BD48" s="92">
        <f t="shared" si="22"/>
        <v>2.933333333</v>
      </c>
      <c r="BE48" s="89" t="str">
        <f t="shared" si="23"/>
        <v>#VALUE!</v>
      </c>
      <c r="BF48" s="90" t="str">
        <f t="shared" si="24"/>
        <v>#VALUE!</v>
      </c>
      <c r="BH48" s="93">
        <f t="shared" si="25"/>
        <v>22160.42</v>
      </c>
      <c r="BI48" s="94">
        <f t="shared" si="26"/>
        <v>1</v>
      </c>
      <c r="BJ48" s="95" t="str">
        <f t="shared" si="27"/>
        <v>#VALUE!</v>
      </c>
      <c r="BK48" s="96" t="str">
        <f t="shared" si="28"/>
        <v>#VALUE!</v>
      </c>
      <c r="BM48" s="97">
        <f t="shared" si="29"/>
        <v>1</v>
      </c>
    </row>
    <row r="49" ht="12.75" customHeight="1">
      <c r="A49" s="65"/>
      <c r="B49" s="66" t="s">
        <v>140</v>
      </c>
      <c r="C49" s="67">
        <v>24794.0</v>
      </c>
      <c r="D49" s="68">
        <v>13.0</v>
      </c>
      <c r="E49" s="67">
        <v>23308.31</v>
      </c>
      <c r="F49" s="68" t="s">
        <v>64</v>
      </c>
      <c r="G49" s="69">
        <v>39576.0</v>
      </c>
      <c r="H49" s="71" t="s">
        <v>57</v>
      </c>
      <c r="I49" s="69">
        <v>39872.0</v>
      </c>
      <c r="J49" s="71">
        <f t="shared" si="1"/>
        <v>9.866666667</v>
      </c>
      <c r="K49" s="72" t="s">
        <v>141</v>
      </c>
      <c r="L49" s="72">
        <v>24831.31</v>
      </c>
      <c r="M49" s="73">
        <v>533.35</v>
      </c>
      <c r="N49" s="73">
        <v>0.0</v>
      </c>
      <c r="O49" s="73">
        <v>989.89</v>
      </c>
      <c r="P49" s="73">
        <v>0.0</v>
      </c>
      <c r="Q49" s="73">
        <f t="shared" si="3"/>
        <v>0.24</v>
      </c>
      <c r="R49" s="74">
        <f t="shared" si="4"/>
        <v>0.00001029675682</v>
      </c>
      <c r="S49" s="74">
        <f t="shared" si="5"/>
        <v>0.9999897032</v>
      </c>
      <c r="T49" s="75"/>
      <c r="V49" s="76"/>
      <c r="W49" s="77"/>
      <c r="X49" s="77"/>
      <c r="Y49" s="77"/>
      <c r="Z49" s="77"/>
      <c r="AA49" s="77"/>
      <c r="AB49" s="78">
        <f t="shared" si="6"/>
        <v>0</v>
      </c>
      <c r="AC49" s="77"/>
      <c r="AD49" s="79"/>
      <c r="AE49" s="80"/>
      <c r="AF49" s="81"/>
      <c r="AG49" s="79"/>
      <c r="AH49" s="80"/>
      <c r="AI49" s="82"/>
      <c r="AJ49" s="82">
        <f t="shared" si="7"/>
        <v>0</v>
      </c>
      <c r="AK49" s="83"/>
      <c r="AL49" s="84">
        <f t="shared" si="8"/>
        <v>0</v>
      </c>
      <c r="AP49" s="85">
        <f t="shared" si="9"/>
        <v>0</v>
      </c>
      <c r="AQ49" s="20">
        <f t="shared" si="10"/>
        <v>1</v>
      </c>
      <c r="AR49" s="20">
        <f t="shared" si="11"/>
        <v>0</v>
      </c>
      <c r="AS49" s="86">
        <f t="shared" si="12"/>
        <v>0</v>
      </c>
      <c r="AT49" s="87">
        <f t="shared" si="13"/>
        <v>0</v>
      </c>
      <c r="AU49" s="88">
        <f t="shared" si="14"/>
        <v>0</v>
      </c>
      <c r="AV49" s="89" t="str">
        <f t="shared" si="15"/>
        <v>#VALUE!</v>
      </c>
      <c r="AW49" s="90">
        <f t="shared" si="16"/>
        <v>0</v>
      </c>
      <c r="AY49" s="85">
        <f t="shared" si="17"/>
        <v>1</v>
      </c>
      <c r="AZ49" s="20">
        <f t="shared" si="18"/>
        <v>1</v>
      </c>
      <c r="BA49" s="20">
        <f t="shared" si="19"/>
        <v>1</v>
      </c>
      <c r="BB49" s="91">
        <f t="shared" si="20"/>
        <v>989.89</v>
      </c>
      <c r="BC49" s="87">
        <f t="shared" si="21"/>
        <v>23308.31</v>
      </c>
      <c r="BD49" s="92">
        <f t="shared" si="22"/>
        <v>9.866666667</v>
      </c>
      <c r="BE49" s="89" t="str">
        <f t="shared" si="23"/>
        <v>#VALUE!</v>
      </c>
      <c r="BF49" s="90" t="str">
        <f t="shared" si="24"/>
        <v>#VALUE!</v>
      </c>
      <c r="BH49" s="93">
        <f t="shared" si="25"/>
        <v>23308.31</v>
      </c>
      <c r="BI49" s="94">
        <f t="shared" si="26"/>
        <v>1</v>
      </c>
      <c r="BJ49" s="95" t="str">
        <f t="shared" si="27"/>
        <v>#VALUE!</v>
      </c>
      <c r="BK49" s="96" t="str">
        <f t="shared" si="28"/>
        <v>#VALUE!</v>
      </c>
      <c r="BM49" s="97">
        <f t="shared" si="29"/>
        <v>1</v>
      </c>
    </row>
    <row r="50" ht="12.75" customHeight="1">
      <c r="A50" s="65"/>
      <c r="B50" s="66" t="s">
        <v>142</v>
      </c>
      <c r="C50" s="67">
        <v>24750.0</v>
      </c>
      <c r="D50" s="68">
        <v>12.0</v>
      </c>
      <c r="E50" s="67">
        <v>24434.38</v>
      </c>
      <c r="F50" s="68" t="s">
        <v>64</v>
      </c>
      <c r="G50" s="69">
        <v>39629.0</v>
      </c>
      <c r="H50" s="71" t="s">
        <v>57</v>
      </c>
      <c r="I50" s="69">
        <v>39800.0</v>
      </c>
      <c r="J50" s="71">
        <f t="shared" si="1"/>
        <v>5.7</v>
      </c>
      <c r="K50" s="72" t="s">
        <v>143</v>
      </c>
      <c r="L50" s="72">
        <v>24316.0</v>
      </c>
      <c r="M50" s="73">
        <v>611.89</v>
      </c>
      <c r="N50" s="73">
        <v>0.0</v>
      </c>
      <c r="O50" s="73">
        <v>0.0</v>
      </c>
      <c r="P50" s="73">
        <v>507.83</v>
      </c>
      <c r="Q50" s="73">
        <f t="shared" si="3"/>
        <v>730.27</v>
      </c>
      <c r="R50" s="74">
        <f t="shared" si="4"/>
        <v>0.02988698711</v>
      </c>
      <c r="S50" s="74">
        <f t="shared" si="5"/>
        <v>0.9701130129</v>
      </c>
      <c r="T50" s="75"/>
      <c r="V50" s="76"/>
      <c r="W50" s="77"/>
      <c r="X50" s="77"/>
      <c r="Y50" s="77"/>
      <c r="Z50" s="77"/>
      <c r="AA50" s="77"/>
      <c r="AB50" s="78">
        <f t="shared" si="6"/>
        <v>0</v>
      </c>
      <c r="AC50" s="77"/>
      <c r="AD50" s="79"/>
      <c r="AE50" s="80"/>
      <c r="AF50" s="81"/>
      <c r="AG50" s="79"/>
      <c r="AH50" s="80"/>
      <c r="AI50" s="82"/>
      <c r="AJ50" s="82">
        <f t="shared" si="7"/>
        <v>0</v>
      </c>
      <c r="AK50" s="83"/>
      <c r="AL50" s="84">
        <f t="shared" si="8"/>
        <v>0</v>
      </c>
      <c r="AP50" s="85">
        <f t="shared" si="9"/>
        <v>0</v>
      </c>
      <c r="AQ50" s="20">
        <f t="shared" si="10"/>
        <v>1</v>
      </c>
      <c r="AR50" s="20">
        <f t="shared" si="11"/>
        <v>0</v>
      </c>
      <c r="AS50" s="86">
        <f t="shared" si="12"/>
        <v>0</v>
      </c>
      <c r="AT50" s="87">
        <f t="shared" si="13"/>
        <v>0</v>
      </c>
      <c r="AU50" s="88">
        <f t="shared" si="14"/>
        <v>0</v>
      </c>
      <c r="AV50" s="89" t="str">
        <f t="shared" si="15"/>
        <v>#VALUE!</v>
      </c>
      <c r="AW50" s="90">
        <f t="shared" si="16"/>
        <v>0</v>
      </c>
      <c r="AY50" s="85">
        <f t="shared" si="17"/>
        <v>1</v>
      </c>
      <c r="AZ50" s="20">
        <f t="shared" si="18"/>
        <v>1</v>
      </c>
      <c r="BA50" s="20">
        <f t="shared" si="19"/>
        <v>1</v>
      </c>
      <c r="BB50" s="91">
        <f t="shared" si="20"/>
        <v>0</v>
      </c>
      <c r="BC50" s="87">
        <f t="shared" si="21"/>
        <v>24434.38</v>
      </c>
      <c r="BD50" s="92">
        <f t="shared" si="22"/>
        <v>5.7</v>
      </c>
      <c r="BE50" s="89" t="str">
        <f t="shared" si="23"/>
        <v>#VALUE!</v>
      </c>
      <c r="BF50" s="90" t="str">
        <f t="shared" si="24"/>
        <v>#VALUE!</v>
      </c>
      <c r="BH50" s="93">
        <f t="shared" si="25"/>
        <v>24434.38</v>
      </c>
      <c r="BI50" s="94">
        <f t="shared" si="26"/>
        <v>1</v>
      </c>
      <c r="BJ50" s="95" t="str">
        <f t="shared" si="27"/>
        <v>#VALUE!</v>
      </c>
      <c r="BK50" s="96" t="str">
        <f t="shared" si="28"/>
        <v>#VALUE!</v>
      </c>
      <c r="BM50" s="97">
        <f t="shared" si="29"/>
        <v>1</v>
      </c>
    </row>
    <row r="51" ht="12.75" customHeight="1">
      <c r="A51" s="65"/>
      <c r="B51" s="66" t="s">
        <v>144</v>
      </c>
      <c r="C51" s="67">
        <v>17850.0</v>
      </c>
      <c r="D51" s="68">
        <v>13.0</v>
      </c>
      <c r="E51" s="67">
        <v>17488.16</v>
      </c>
      <c r="F51" s="68" t="s">
        <v>56</v>
      </c>
      <c r="G51" s="69">
        <v>39629.0</v>
      </c>
      <c r="H51" s="71" t="s">
        <v>57</v>
      </c>
      <c r="I51" s="69">
        <v>39959.0</v>
      </c>
      <c r="J51" s="71">
        <f t="shared" si="1"/>
        <v>11</v>
      </c>
      <c r="K51" s="72" t="s">
        <v>145</v>
      </c>
      <c r="L51" s="72">
        <v>20715.23</v>
      </c>
      <c r="M51" s="73">
        <v>1075.78</v>
      </c>
      <c r="N51" s="73">
        <v>3178.85</v>
      </c>
      <c r="O51" s="73">
        <v>401.01</v>
      </c>
      <c r="P51" s="73">
        <v>0.0</v>
      </c>
      <c r="Q51" s="73">
        <f t="shared" si="3"/>
        <v>1428.57</v>
      </c>
      <c r="R51" s="74">
        <f t="shared" si="4"/>
        <v>0.08168783909</v>
      </c>
      <c r="S51" s="74">
        <f t="shared" si="5"/>
        <v>0.9183121609</v>
      </c>
      <c r="T51" s="75"/>
      <c r="V51" s="76"/>
      <c r="W51" s="77"/>
      <c r="X51" s="77"/>
      <c r="Y51" s="77"/>
      <c r="Z51" s="77"/>
      <c r="AA51" s="77"/>
      <c r="AB51" s="78">
        <f t="shared" si="6"/>
        <v>0</v>
      </c>
      <c r="AC51" s="77"/>
      <c r="AD51" s="79"/>
      <c r="AE51" s="80"/>
      <c r="AF51" s="81"/>
      <c r="AG51" s="79"/>
      <c r="AH51" s="80"/>
      <c r="AI51" s="82"/>
      <c r="AJ51" s="82">
        <f t="shared" si="7"/>
        <v>0</v>
      </c>
      <c r="AK51" s="83"/>
      <c r="AL51" s="84">
        <f t="shared" si="8"/>
        <v>0</v>
      </c>
      <c r="AP51" s="85">
        <f t="shared" si="9"/>
        <v>1</v>
      </c>
      <c r="AQ51" s="20">
        <f t="shared" si="10"/>
        <v>1</v>
      </c>
      <c r="AR51" s="20">
        <f t="shared" si="11"/>
        <v>1</v>
      </c>
      <c r="AS51" s="86">
        <f t="shared" si="12"/>
        <v>3579.86</v>
      </c>
      <c r="AT51" s="87">
        <f t="shared" si="13"/>
        <v>17488.16</v>
      </c>
      <c r="AU51" s="88">
        <f t="shared" si="14"/>
        <v>11</v>
      </c>
      <c r="AV51" s="89" t="str">
        <f t="shared" si="15"/>
        <v>#VALUE!</v>
      </c>
      <c r="AW51" s="90" t="str">
        <f t="shared" si="16"/>
        <v>#VALUE!</v>
      </c>
      <c r="AY51" s="85">
        <f t="shared" si="17"/>
        <v>0</v>
      </c>
      <c r="AZ51" s="20">
        <f t="shared" si="18"/>
        <v>1</v>
      </c>
      <c r="BA51" s="20">
        <f t="shared" si="19"/>
        <v>0</v>
      </c>
      <c r="BB51" s="91">
        <f t="shared" si="20"/>
        <v>0</v>
      </c>
      <c r="BC51" s="87">
        <f t="shared" si="21"/>
        <v>0</v>
      </c>
      <c r="BD51" s="92">
        <f t="shared" si="22"/>
        <v>0</v>
      </c>
      <c r="BE51" s="89" t="str">
        <f t="shared" si="23"/>
        <v>#VALUE!</v>
      </c>
      <c r="BF51" s="90">
        <f t="shared" si="24"/>
        <v>0</v>
      </c>
      <c r="BH51" s="93">
        <f t="shared" si="25"/>
        <v>17488.16</v>
      </c>
      <c r="BI51" s="94">
        <f t="shared" si="26"/>
        <v>1</v>
      </c>
      <c r="BJ51" s="95" t="str">
        <f t="shared" si="27"/>
        <v>#VALUE!</v>
      </c>
      <c r="BK51" s="96" t="str">
        <f t="shared" si="28"/>
        <v>#VALUE!</v>
      </c>
      <c r="BM51" s="97">
        <f t="shared" si="29"/>
        <v>1</v>
      </c>
    </row>
    <row r="52" ht="12.75" customHeight="1">
      <c r="A52" s="65"/>
      <c r="B52" s="66" t="s">
        <v>146</v>
      </c>
      <c r="C52" s="67">
        <v>25440.0</v>
      </c>
      <c r="D52" s="68">
        <v>12.0</v>
      </c>
      <c r="E52" s="67">
        <v>23653.74</v>
      </c>
      <c r="F52" s="68" t="s">
        <v>56</v>
      </c>
      <c r="G52" s="69">
        <v>39691.0</v>
      </c>
      <c r="H52" s="71" t="s">
        <v>57</v>
      </c>
      <c r="I52" s="69">
        <v>39965.0</v>
      </c>
      <c r="J52" s="71">
        <f t="shared" si="1"/>
        <v>9.133333333</v>
      </c>
      <c r="K52" s="72" t="s">
        <v>147</v>
      </c>
      <c r="L52" s="72">
        <v>26500.0</v>
      </c>
      <c r="M52" s="73">
        <v>884.0</v>
      </c>
      <c r="N52" s="73">
        <v>3687.83</v>
      </c>
      <c r="O52" s="73">
        <v>0.0</v>
      </c>
      <c r="P52" s="73">
        <f t="shared" ref="P52:P58" si="31">IF(L52="N/A",0,IF(L52-E52&gt;0,0,E52-L52))</f>
        <v>0</v>
      </c>
      <c r="Q52" s="73">
        <f t="shared" si="3"/>
        <v>1725.57</v>
      </c>
      <c r="R52" s="74">
        <f t="shared" si="4"/>
        <v>0.07295125422</v>
      </c>
      <c r="S52" s="74">
        <f t="shared" si="5"/>
        <v>0.9270487458</v>
      </c>
      <c r="T52" s="75"/>
      <c r="V52" s="76"/>
      <c r="W52" s="77"/>
      <c r="X52" s="77"/>
      <c r="Y52" s="77"/>
      <c r="Z52" s="77"/>
      <c r="AA52" s="77"/>
      <c r="AB52" s="78">
        <f t="shared" si="6"/>
        <v>0</v>
      </c>
      <c r="AC52" s="77"/>
      <c r="AD52" s="79"/>
      <c r="AE52" s="80"/>
      <c r="AF52" s="81"/>
      <c r="AG52" s="79"/>
      <c r="AH52" s="80"/>
      <c r="AI52" s="82"/>
      <c r="AJ52" s="82">
        <f t="shared" si="7"/>
        <v>0</v>
      </c>
      <c r="AK52" s="83"/>
      <c r="AL52" s="84">
        <f t="shared" si="8"/>
        <v>0</v>
      </c>
      <c r="AP52" s="85">
        <f t="shared" si="9"/>
        <v>1</v>
      </c>
      <c r="AQ52" s="20">
        <f t="shared" si="10"/>
        <v>1</v>
      </c>
      <c r="AR52" s="20">
        <f t="shared" si="11"/>
        <v>1</v>
      </c>
      <c r="AS52" s="86">
        <f t="shared" si="12"/>
        <v>3687.83</v>
      </c>
      <c r="AT52" s="87">
        <f t="shared" si="13"/>
        <v>23653.74</v>
      </c>
      <c r="AU52" s="88">
        <f t="shared" si="14"/>
        <v>9.133333333</v>
      </c>
      <c r="AV52" s="89" t="str">
        <f t="shared" si="15"/>
        <v>#VALUE!</v>
      </c>
      <c r="AW52" s="90" t="str">
        <f t="shared" si="16"/>
        <v>#VALUE!</v>
      </c>
      <c r="AY52" s="85">
        <f t="shared" si="17"/>
        <v>0</v>
      </c>
      <c r="AZ52" s="20">
        <f t="shared" si="18"/>
        <v>1</v>
      </c>
      <c r="BA52" s="20">
        <f t="shared" si="19"/>
        <v>0</v>
      </c>
      <c r="BB52" s="91">
        <f t="shared" si="20"/>
        <v>0</v>
      </c>
      <c r="BC52" s="87">
        <f t="shared" si="21"/>
        <v>0</v>
      </c>
      <c r="BD52" s="92">
        <f t="shared" si="22"/>
        <v>0</v>
      </c>
      <c r="BE52" s="89" t="str">
        <f t="shared" si="23"/>
        <v>#VALUE!</v>
      </c>
      <c r="BF52" s="90">
        <f t="shared" si="24"/>
        <v>0</v>
      </c>
      <c r="BH52" s="93">
        <f t="shared" si="25"/>
        <v>23653.74</v>
      </c>
      <c r="BI52" s="94">
        <f t="shared" si="26"/>
        <v>1</v>
      </c>
      <c r="BJ52" s="95" t="str">
        <f t="shared" si="27"/>
        <v>#VALUE!</v>
      </c>
      <c r="BK52" s="96" t="str">
        <f t="shared" si="28"/>
        <v>#VALUE!</v>
      </c>
      <c r="BM52" s="97">
        <f t="shared" si="29"/>
        <v>1</v>
      </c>
    </row>
    <row r="53" ht="12.75" customHeight="1">
      <c r="A53" s="65"/>
      <c r="B53" s="66" t="s">
        <v>148</v>
      </c>
      <c r="C53" s="67">
        <v>20950.0</v>
      </c>
      <c r="D53" s="68">
        <v>8.0</v>
      </c>
      <c r="E53" s="67">
        <v>19904.62</v>
      </c>
      <c r="F53" s="68" t="s">
        <v>64</v>
      </c>
      <c r="G53" s="69">
        <v>39813.0</v>
      </c>
      <c r="H53" s="71" t="s">
        <v>57</v>
      </c>
      <c r="I53" s="69">
        <v>39873.0</v>
      </c>
      <c r="J53" s="71">
        <f t="shared" si="1"/>
        <v>2</v>
      </c>
      <c r="K53" s="72" t="s">
        <v>149</v>
      </c>
      <c r="L53" s="72">
        <v>22965.949999999997</v>
      </c>
      <c r="M53" s="73">
        <v>248.58999999999997</v>
      </c>
      <c r="N53" s="73">
        <v>1119.11</v>
      </c>
      <c r="O53" s="73">
        <v>2986.03</v>
      </c>
      <c r="P53" s="73">
        <f t="shared" si="31"/>
        <v>0</v>
      </c>
      <c r="Q53" s="73">
        <f t="shared" si="3"/>
        <v>1292.4</v>
      </c>
      <c r="R53" s="74">
        <f t="shared" si="4"/>
        <v>0.0649296495</v>
      </c>
      <c r="S53" s="74">
        <f t="shared" si="5"/>
        <v>0.9350703505</v>
      </c>
      <c r="T53" s="75"/>
      <c r="V53" s="76"/>
      <c r="W53" s="77"/>
      <c r="X53" s="77"/>
      <c r="Y53" s="77"/>
      <c r="Z53" s="77"/>
      <c r="AA53" s="77"/>
      <c r="AB53" s="78">
        <f t="shared" si="6"/>
        <v>0</v>
      </c>
      <c r="AC53" s="77"/>
      <c r="AD53" s="79"/>
      <c r="AE53" s="80"/>
      <c r="AF53" s="81"/>
      <c r="AG53" s="79"/>
      <c r="AH53" s="80"/>
      <c r="AI53" s="82"/>
      <c r="AJ53" s="82">
        <f t="shared" si="7"/>
        <v>0</v>
      </c>
      <c r="AK53" s="83"/>
      <c r="AL53" s="84">
        <f t="shared" si="8"/>
        <v>0</v>
      </c>
      <c r="AP53" s="85">
        <f t="shared" si="9"/>
        <v>0</v>
      </c>
      <c r="AQ53" s="20">
        <f t="shared" si="10"/>
        <v>1</v>
      </c>
      <c r="AR53" s="20">
        <f t="shared" si="11"/>
        <v>0</v>
      </c>
      <c r="AS53" s="86">
        <f t="shared" si="12"/>
        <v>0</v>
      </c>
      <c r="AT53" s="87">
        <f t="shared" si="13"/>
        <v>0</v>
      </c>
      <c r="AU53" s="88">
        <f t="shared" si="14"/>
        <v>0</v>
      </c>
      <c r="AV53" s="89" t="str">
        <f t="shared" si="15"/>
        <v>#VALUE!</v>
      </c>
      <c r="AW53" s="90">
        <f t="shared" si="16"/>
        <v>0</v>
      </c>
      <c r="AY53" s="85">
        <f t="shared" si="17"/>
        <v>1</v>
      </c>
      <c r="AZ53" s="20">
        <f t="shared" si="18"/>
        <v>1</v>
      </c>
      <c r="BA53" s="20">
        <f t="shared" si="19"/>
        <v>1</v>
      </c>
      <c r="BB53" s="91">
        <f t="shared" si="20"/>
        <v>4105.14</v>
      </c>
      <c r="BC53" s="87">
        <f t="shared" si="21"/>
        <v>19904.62</v>
      </c>
      <c r="BD53" s="92">
        <f t="shared" si="22"/>
        <v>2</v>
      </c>
      <c r="BE53" s="89" t="str">
        <f t="shared" si="23"/>
        <v>#VALUE!</v>
      </c>
      <c r="BF53" s="90" t="str">
        <f t="shared" si="24"/>
        <v>#VALUE!</v>
      </c>
      <c r="BH53" s="93">
        <f t="shared" si="25"/>
        <v>19904.62</v>
      </c>
      <c r="BI53" s="94">
        <f t="shared" si="26"/>
        <v>1</v>
      </c>
      <c r="BJ53" s="95" t="str">
        <f t="shared" si="27"/>
        <v>#VALUE!</v>
      </c>
      <c r="BK53" s="96" t="str">
        <f t="shared" si="28"/>
        <v>#VALUE!</v>
      </c>
      <c r="BM53" s="97">
        <f t="shared" si="29"/>
        <v>1</v>
      </c>
    </row>
    <row r="54" ht="12.75" customHeight="1">
      <c r="A54" s="65"/>
      <c r="B54" s="66" t="s">
        <v>150</v>
      </c>
      <c r="C54" s="67">
        <v>19950.0</v>
      </c>
      <c r="D54" s="68">
        <v>13.0</v>
      </c>
      <c r="E54" s="67">
        <f>17009.4+2186.19</f>
        <v>19195.59</v>
      </c>
      <c r="F54" s="68" t="s">
        <v>64</v>
      </c>
      <c r="G54" s="69">
        <v>39813.0</v>
      </c>
      <c r="H54" s="71" t="s">
        <v>57</v>
      </c>
      <c r="I54" s="69">
        <v>39873.0</v>
      </c>
      <c r="J54" s="71">
        <f t="shared" si="1"/>
        <v>2</v>
      </c>
      <c r="K54" s="72" t="s">
        <v>151</v>
      </c>
      <c r="L54" s="72">
        <v>21509.4</v>
      </c>
      <c r="M54" s="73">
        <v>646.78</v>
      </c>
      <c r="N54" s="73">
        <v>700.74</v>
      </c>
      <c r="O54" s="73">
        <v>1963.0</v>
      </c>
      <c r="P54" s="73">
        <f t="shared" si="31"/>
        <v>0</v>
      </c>
      <c r="Q54" s="73">
        <f t="shared" si="3"/>
        <v>996.71</v>
      </c>
      <c r="R54" s="74">
        <f t="shared" si="4"/>
        <v>0.05192390544</v>
      </c>
      <c r="S54" s="74">
        <f t="shared" si="5"/>
        <v>0.9480760946</v>
      </c>
      <c r="T54" s="75"/>
      <c r="V54" s="76"/>
      <c r="W54" s="77"/>
      <c r="X54" s="77"/>
      <c r="Y54" s="77"/>
      <c r="Z54" s="77"/>
      <c r="AA54" s="77"/>
      <c r="AB54" s="78">
        <f t="shared" si="6"/>
        <v>0</v>
      </c>
      <c r="AC54" s="77"/>
      <c r="AD54" s="79"/>
      <c r="AE54" s="80"/>
      <c r="AF54" s="81"/>
      <c r="AG54" s="79"/>
      <c r="AH54" s="80"/>
      <c r="AI54" s="82"/>
      <c r="AJ54" s="82">
        <f t="shared" si="7"/>
        <v>0</v>
      </c>
      <c r="AK54" s="83"/>
      <c r="AL54" s="84">
        <f t="shared" si="8"/>
        <v>0</v>
      </c>
      <c r="AP54" s="85">
        <f t="shared" si="9"/>
        <v>0</v>
      </c>
      <c r="AQ54" s="20">
        <f t="shared" si="10"/>
        <v>1</v>
      </c>
      <c r="AR54" s="20">
        <f t="shared" si="11"/>
        <v>0</v>
      </c>
      <c r="AS54" s="86">
        <f t="shared" si="12"/>
        <v>0</v>
      </c>
      <c r="AT54" s="87">
        <f t="shared" si="13"/>
        <v>0</v>
      </c>
      <c r="AU54" s="88">
        <f t="shared" si="14"/>
        <v>0</v>
      </c>
      <c r="AV54" s="89" t="str">
        <f t="shared" si="15"/>
        <v>#VALUE!</v>
      </c>
      <c r="AW54" s="90">
        <f t="shared" si="16"/>
        <v>0</v>
      </c>
      <c r="AY54" s="85">
        <f t="shared" si="17"/>
        <v>1</v>
      </c>
      <c r="AZ54" s="20">
        <f t="shared" si="18"/>
        <v>1</v>
      </c>
      <c r="BA54" s="20">
        <f t="shared" si="19"/>
        <v>1</v>
      </c>
      <c r="BB54" s="91">
        <f t="shared" si="20"/>
        <v>2663.74</v>
      </c>
      <c r="BC54" s="87">
        <f t="shared" si="21"/>
        <v>19195.59</v>
      </c>
      <c r="BD54" s="92">
        <f t="shared" si="22"/>
        <v>2</v>
      </c>
      <c r="BE54" s="89" t="str">
        <f t="shared" si="23"/>
        <v>#VALUE!</v>
      </c>
      <c r="BF54" s="90" t="str">
        <f t="shared" si="24"/>
        <v>#VALUE!</v>
      </c>
      <c r="BH54" s="93">
        <f t="shared" si="25"/>
        <v>19195.59</v>
      </c>
      <c r="BI54" s="94">
        <f t="shared" si="26"/>
        <v>1</v>
      </c>
      <c r="BJ54" s="95" t="str">
        <f t="shared" si="27"/>
        <v>#VALUE!</v>
      </c>
      <c r="BK54" s="96" t="str">
        <f t="shared" si="28"/>
        <v>#VALUE!</v>
      </c>
      <c r="BM54" s="97">
        <f t="shared" si="29"/>
        <v>1</v>
      </c>
    </row>
    <row r="55" ht="12.75" customHeight="1">
      <c r="A55" s="65"/>
      <c r="B55" s="66" t="s">
        <v>152</v>
      </c>
      <c r="C55" s="67">
        <v>18405.0</v>
      </c>
      <c r="D55" s="68">
        <v>13.0</v>
      </c>
      <c r="E55" s="67">
        <f>13204.87+4974.01</f>
        <v>18178.88</v>
      </c>
      <c r="F55" s="68" t="s">
        <v>64</v>
      </c>
      <c r="G55" s="69">
        <v>39813.0</v>
      </c>
      <c r="H55" s="71" t="s">
        <v>57</v>
      </c>
      <c r="I55" s="69">
        <v>39995.0</v>
      </c>
      <c r="J55" s="71">
        <f t="shared" si="1"/>
        <v>6.066666667</v>
      </c>
      <c r="K55" s="72" t="s">
        <v>153</v>
      </c>
      <c r="L55" s="72">
        <v>18678.88</v>
      </c>
      <c r="M55" s="73">
        <v>91.75</v>
      </c>
      <c r="N55" s="73">
        <v>849.02</v>
      </c>
      <c r="O55" s="73">
        <v>622.5</v>
      </c>
      <c r="P55" s="73">
        <f t="shared" si="31"/>
        <v>0</v>
      </c>
      <c r="Q55" s="73">
        <f t="shared" si="3"/>
        <v>1063.27</v>
      </c>
      <c r="R55" s="74">
        <f t="shared" si="4"/>
        <v>0.05848930187</v>
      </c>
      <c r="S55" s="74">
        <f t="shared" si="5"/>
        <v>0.9415106981</v>
      </c>
      <c r="T55" s="75"/>
      <c r="V55" s="76"/>
      <c r="W55" s="77"/>
      <c r="X55" s="77"/>
      <c r="Y55" s="77"/>
      <c r="Z55" s="77"/>
      <c r="AA55" s="77"/>
      <c r="AB55" s="78">
        <f t="shared" si="6"/>
        <v>0</v>
      </c>
      <c r="AC55" s="77"/>
      <c r="AD55" s="79"/>
      <c r="AE55" s="80"/>
      <c r="AF55" s="81"/>
      <c r="AG55" s="79"/>
      <c r="AH55" s="80"/>
      <c r="AI55" s="82"/>
      <c r="AJ55" s="82">
        <f t="shared" si="7"/>
        <v>0</v>
      </c>
      <c r="AK55" s="83"/>
      <c r="AL55" s="84">
        <f t="shared" si="8"/>
        <v>0</v>
      </c>
      <c r="AP55" s="85">
        <f t="shared" si="9"/>
        <v>0</v>
      </c>
      <c r="AQ55" s="20">
        <f t="shared" si="10"/>
        <v>1</v>
      </c>
      <c r="AR55" s="20">
        <f t="shared" si="11"/>
        <v>0</v>
      </c>
      <c r="AS55" s="86">
        <f t="shared" si="12"/>
        <v>0</v>
      </c>
      <c r="AT55" s="87">
        <f t="shared" si="13"/>
        <v>0</v>
      </c>
      <c r="AU55" s="88">
        <f t="shared" si="14"/>
        <v>0</v>
      </c>
      <c r="AV55" s="89" t="str">
        <f t="shared" si="15"/>
        <v>#VALUE!</v>
      </c>
      <c r="AW55" s="90">
        <f t="shared" si="16"/>
        <v>0</v>
      </c>
      <c r="AY55" s="85">
        <f t="shared" si="17"/>
        <v>1</v>
      </c>
      <c r="AZ55" s="20">
        <f t="shared" si="18"/>
        <v>1</v>
      </c>
      <c r="BA55" s="20">
        <f t="shared" si="19"/>
        <v>1</v>
      </c>
      <c r="BB55" s="91">
        <f t="shared" si="20"/>
        <v>1471.52</v>
      </c>
      <c r="BC55" s="87">
        <f t="shared" si="21"/>
        <v>18178.88</v>
      </c>
      <c r="BD55" s="92">
        <f t="shared" si="22"/>
        <v>6.066666667</v>
      </c>
      <c r="BE55" s="89" t="str">
        <f t="shared" si="23"/>
        <v>#VALUE!</v>
      </c>
      <c r="BF55" s="90" t="str">
        <f t="shared" si="24"/>
        <v>#VALUE!</v>
      </c>
      <c r="BH55" s="93">
        <f t="shared" si="25"/>
        <v>18178.88</v>
      </c>
      <c r="BI55" s="94">
        <f t="shared" si="26"/>
        <v>1</v>
      </c>
      <c r="BJ55" s="95" t="str">
        <f t="shared" si="27"/>
        <v>#VALUE!</v>
      </c>
      <c r="BK55" s="96" t="str">
        <f t="shared" si="28"/>
        <v>#VALUE!</v>
      </c>
      <c r="BM55" s="97">
        <f t="shared" si="29"/>
        <v>1</v>
      </c>
    </row>
    <row r="56" ht="12.75" customHeight="1">
      <c r="A56" s="65"/>
      <c r="B56" s="66" t="s">
        <v>154</v>
      </c>
      <c r="C56" s="67">
        <v>33787.5</v>
      </c>
      <c r="D56" s="68">
        <v>13.0</v>
      </c>
      <c r="E56" s="67">
        <f>17963.35+15382.94</f>
        <v>33346.29</v>
      </c>
      <c r="F56" s="68" t="s">
        <v>64</v>
      </c>
      <c r="G56" s="69">
        <v>39813.0</v>
      </c>
      <c r="H56" s="71" t="s">
        <v>57</v>
      </c>
      <c r="I56" s="69">
        <v>40147.0</v>
      </c>
      <c r="J56" s="71">
        <f t="shared" si="1"/>
        <v>11.13333333</v>
      </c>
      <c r="K56" s="72" t="s">
        <v>155</v>
      </c>
      <c r="L56" s="72">
        <v>40000.0</v>
      </c>
      <c r="M56" s="73">
        <v>1946.94</v>
      </c>
      <c r="N56" s="73">
        <v>851.52</v>
      </c>
      <c r="O56" s="73">
        <v>0.0</v>
      </c>
      <c r="P56" s="73">
        <f t="shared" si="31"/>
        <v>0</v>
      </c>
      <c r="Q56" s="73">
        <f t="shared" si="3"/>
        <v>0</v>
      </c>
      <c r="R56" s="74">
        <f t="shared" si="4"/>
        <v>0</v>
      </c>
      <c r="S56" s="74">
        <f t="shared" si="5"/>
        <v>1</v>
      </c>
      <c r="T56" s="75"/>
      <c r="V56" s="76"/>
      <c r="W56" s="77"/>
      <c r="X56" s="77"/>
      <c r="Y56" s="77"/>
      <c r="Z56" s="77"/>
      <c r="AA56" s="77"/>
      <c r="AB56" s="78">
        <f t="shared" si="6"/>
        <v>0</v>
      </c>
      <c r="AC56" s="77"/>
      <c r="AD56" s="79"/>
      <c r="AE56" s="80"/>
      <c r="AF56" s="81"/>
      <c r="AG56" s="79"/>
      <c r="AH56" s="80"/>
      <c r="AI56" s="82"/>
      <c r="AJ56" s="82">
        <f t="shared" si="7"/>
        <v>0</v>
      </c>
      <c r="AK56" s="83"/>
      <c r="AL56" s="84">
        <f t="shared" si="8"/>
        <v>0</v>
      </c>
      <c r="AP56" s="85">
        <f t="shared" si="9"/>
        <v>0</v>
      </c>
      <c r="AQ56" s="20">
        <f t="shared" si="10"/>
        <v>1</v>
      </c>
      <c r="AR56" s="20">
        <f t="shared" si="11"/>
        <v>0</v>
      </c>
      <c r="AS56" s="86">
        <f t="shared" si="12"/>
        <v>0</v>
      </c>
      <c r="AT56" s="87">
        <f t="shared" si="13"/>
        <v>0</v>
      </c>
      <c r="AU56" s="88">
        <f t="shared" si="14"/>
        <v>0</v>
      </c>
      <c r="AV56" s="89" t="str">
        <f t="shared" si="15"/>
        <v>#VALUE!</v>
      </c>
      <c r="AW56" s="90">
        <f t="shared" si="16"/>
        <v>0</v>
      </c>
      <c r="AY56" s="85">
        <f t="shared" si="17"/>
        <v>1</v>
      </c>
      <c r="AZ56" s="20">
        <f t="shared" si="18"/>
        <v>1</v>
      </c>
      <c r="BA56" s="20">
        <f t="shared" si="19"/>
        <v>1</v>
      </c>
      <c r="BB56" s="91">
        <f t="shared" si="20"/>
        <v>851.52</v>
      </c>
      <c r="BC56" s="87">
        <f t="shared" si="21"/>
        <v>33346.29</v>
      </c>
      <c r="BD56" s="92">
        <f t="shared" si="22"/>
        <v>11.13333333</v>
      </c>
      <c r="BE56" s="89" t="str">
        <f t="shared" si="23"/>
        <v>#VALUE!</v>
      </c>
      <c r="BF56" s="90" t="str">
        <f t="shared" si="24"/>
        <v>#VALUE!</v>
      </c>
      <c r="BH56" s="93">
        <f t="shared" si="25"/>
        <v>33346.29</v>
      </c>
      <c r="BI56" s="94">
        <f t="shared" si="26"/>
        <v>1</v>
      </c>
      <c r="BJ56" s="95" t="str">
        <f t="shared" si="27"/>
        <v>#VALUE!</v>
      </c>
      <c r="BK56" s="96" t="str">
        <f t="shared" si="28"/>
        <v>#VALUE!</v>
      </c>
      <c r="BM56" s="97">
        <f t="shared" si="29"/>
        <v>1</v>
      </c>
    </row>
    <row r="57" ht="12.75" customHeight="1">
      <c r="A57" s="65"/>
      <c r="B57" s="66" t="s">
        <v>156</v>
      </c>
      <c r="C57" s="67">
        <v>19294.9</v>
      </c>
      <c r="D57" s="68">
        <v>13.0</v>
      </c>
      <c r="E57" s="67">
        <v>18383.84</v>
      </c>
      <c r="F57" s="68" t="s">
        <v>64</v>
      </c>
      <c r="G57" s="69">
        <v>39813.0</v>
      </c>
      <c r="H57" s="71" t="s">
        <v>57</v>
      </c>
      <c r="I57" s="69">
        <v>40478.0</v>
      </c>
      <c r="J57" s="71">
        <f t="shared" si="1"/>
        <v>22.16666667</v>
      </c>
      <c r="K57" s="98" t="s">
        <v>157</v>
      </c>
      <c r="L57" s="72">
        <v>21500.0</v>
      </c>
      <c r="M57" s="73">
        <v>751.0</v>
      </c>
      <c r="N57" s="73">
        <v>1797.01</v>
      </c>
      <c r="O57" s="73">
        <v>17.42</v>
      </c>
      <c r="P57" s="73">
        <f t="shared" si="31"/>
        <v>0</v>
      </c>
      <c r="Q57" s="73">
        <f t="shared" si="3"/>
        <v>0</v>
      </c>
      <c r="R57" s="74">
        <f t="shared" si="4"/>
        <v>0</v>
      </c>
      <c r="S57" s="74">
        <f t="shared" si="5"/>
        <v>1</v>
      </c>
      <c r="T57" s="75"/>
      <c r="V57" s="76"/>
      <c r="W57" s="77"/>
      <c r="X57" s="77"/>
      <c r="Y57" s="77"/>
      <c r="Z57" s="77"/>
      <c r="AA57" s="77"/>
      <c r="AB57" s="78">
        <f t="shared" si="6"/>
        <v>0</v>
      </c>
      <c r="AC57" s="77"/>
      <c r="AD57" s="79"/>
      <c r="AE57" s="80"/>
      <c r="AF57" s="81"/>
      <c r="AG57" s="79"/>
      <c r="AH57" s="80"/>
      <c r="AI57" s="82"/>
      <c r="AJ57" s="82">
        <f t="shared" si="7"/>
        <v>0</v>
      </c>
      <c r="AK57" s="83"/>
      <c r="AL57" s="84">
        <f t="shared" si="8"/>
        <v>0</v>
      </c>
      <c r="AP57" s="85">
        <f t="shared" si="9"/>
        <v>0</v>
      </c>
      <c r="AQ57" s="20">
        <f t="shared" si="10"/>
        <v>1</v>
      </c>
      <c r="AR57" s="20">
        <f t="shared" si="11"/>
        <v>0</v>
      </c>
      <c r="AS57" s="86">
        <f t="shared" si="12"/>
        <v>0</v>
      </c>
      <c r="AT57" s="87">
        <f t="shared" si="13"/>
        <v>0</v>
      </c>
      <c r="AU57" s="88">
        <f t="shared" si="14"/>
        <v>0</v>
      </c>
      <c r="AV57" s="89" t="str">
        <f t="shared" si="15"/>
        <v>#VALUE!</v>
      </c>
      <c r="AW57" s="90">
        <f t="shared" si="16"/>
        <v>0</v>
      </c>
      <c r="AY57" s="85">
        <f t="shared" si="17"/>
        <v>1</v>
      </c>
      <c r="AZ57" s="20">
        <f t="shared" si="18"/>
        <v>1</v>
      </c>
      <c r="BA57" s="20">
        <f t="shared" si="19"/>
        <v>1</v>
      </c>
      <c r="BB57" s="91">
        <f t="shared" si="20"/>
        <v>1814.43</v>
      </c>
      <c r="BC57" s="87">
        <f t="shared" si="21"/>
        <v>18383.84</v>
      </c>
      <c r="BD57" s="92">
        <f t="shared" si="22"/>
        <v>22.16666667</v>
      </c>
      <c r="BE57" s="89" t="str">
        <f t="shared" si="23"/>
        <v>#VALUE!</v>
      </c>
      <c r="BF57" s="90" t="str">
        <f t="shared" si="24"/>
        <v>#VALUE!</v>
      </c>
      <c r="BH57" s="93">
        <f t="shared" si="25"/>
        <v>18383.84</v>
      </c>
      <c r="BI57" s="94">
        <f t="shared" si="26"/>
        <v>1</v>
      </c>
      <c r="BJ57" s="95" t="str">
        <f t="shared" si="27"/>
        <v>#VALUE!</v>
      </c>
      <c r="BK57" s="96" t="str">
        <f t="shared" si="28"/>
        <v>#VALUE!</v>
      </c>
      <c r="BM57" s="97">
        <f t="shared" si="29"/>
        <v>1</v>
      </c>
    </row>
    <row r="58" ht="12.75" customHeight="1">
      <c r="A58" s="65"/>
      <c r="B58" s="66" t="s">
        <v>158</v>
      </c>
      <c r="C58" s="67">
        <v>27720.0</v>
      </c>
      <c r="D58" s="68">
        <v>13.0</v>
      </c>
      <c r="E58" s="67">
        <v>26818.64</v>
      </c>
      <c r="F58" s="68" t="s">
        <v>64</v>
      </c>
      <c r="G58" s="69">
        <v>39833.0</v>
      </c>
      <c r="H58" s="71" t="s">
        <v>57</v>
      </c>
      <c r="I58" s="69">
        <v>40156.0</v>
      </c>
      <c r="J58" s="71">
        <f t="shared" si="1"/>
        <v>10.76666667</v>
      </c>
      <c r="K58" s="72" t="s">
        <v>159</v>
      </c>
      <c r="L58" s="72">
        <v>34675.0</v>
      </c>
      <c r="M58" s="73">
        <v>4163.79</v>
      </c>
      <c r="N58" s="73">
        <v>3377.8</v>
      </c>
      <c r="O58" s="73">
        <v>3647.98</v>
      </c>
      <c r="P58" s="73">
        <f t="shared" si="31"/>
        <v>0</v>
      </c>
      <c r="Q58" s="73">
        <f t="shared" si="3"/>
        <v>3333.21</v>
      </c>
      <c r="R58" s="74">
        <f t="shared" si="4"/>
        <v>0.124287063</v>
      </c>
      <c r="S58" s="74">
        <f t="shared" si="5"/>
        <v>0.875712937</v>
      </c>
      <c r="T58" s="75"/>
      <c r="V58" s="76"/>
      <c r="W58" s="77"/>
      <c r="X58" s="77"/>
      <c r="Y58" s="77"/>
      <c r="Z58" s="77"/>
      <c r="AA58" s="77"/>
      <c r="AB58" s="78">
        <f t="shared" si="6"/>
        <v>0</v>
      </c>
      <c r="AC58" s="77"/>
      <c r="AD58" s="79"/>
      <c r="AE58" s="80"/>
      <c r="AF58" s="81"/>
      <c r="AG58" s="79"/>
      <c r="AH58" s="80"/>
      <c r="AI58" s="82"/>
      <c r="AJ58" s="82">
        <f t="shared" si="7"/>
        <v>0</v>
      </c>
      <c r="AK58" s="83"/>
      <c r="AL58" s="84">
        <f t="shared" si="8"/>
        <v>0</v>
      </c>
      <c r="AP58" s="85">
        <f t="shared" si="9"/>
        <v>0</v>
      </c>
      <c r="AQ58" s="20">
        <f t="shared" si="10"/>
        <v>1</v>
      </c>
      <c r="AR58" s="20">
        <f t="shared" si="11"/>
        <v>0</v>
      </c>
      <c r="AS58" s="86">
        <f t="shared" si="12"/>
        <v>0</v>
      </c>
      <c r="AT58" s="87">
        <f t="shared" si="13"/>
        <v>0</v>
      </c>
      <c r="AU58" s="88">
        <f t="shared" si="14"/>
        <v>0</v>
      </c>
      <c r="AV58" s="89" t="str">
        <f t="shared" si="15"/>
        <v>#VALUE!</v>
      </c>
      <c r="AW58" s="90">
        <f t="shared" si="16"/>
        <v>0</v>
      </c>
      <c r="AY58" s="85">
        <f t="shared" si="17"/>
        <v>1</v>
      </c>
      <c r="AZ58" s="20">
        <f t="shared" si="18"/>
        <v>1</v>
      </c>
      <c r="BA58" s="20">
        <f t="shared" si="19"/>
        <v>1</v>
      </c>
      <c r="BB58" s="91">
        <f t="shared" si="20"/>
        <v>7025.78</v>
      </c>
      <c r="BC58" s="87">
        <f t="shared" si="21"/>
        <v>26818.64</v>
      </c>
      <c r="BD58" s="92">
        <f t="shared" si="22"/>
        <v>10.76666667</v>
      </c>
      <c r="BE58" s="89" t="str">
        <f t="shared" si="23"/>
        <v>#VALUE!</v>
      </c>
      <c r="BF58" s="90" t="str">
        <f t="shared" si="24"/>
        <v>#VALUE!</v>
      </c>
      <c r="BH58" s="93">
        <f t="shared" si="25"/>
        <v>26818.64</v>
      </c>
      <c r="BI58" s="94">
        <f t="shared" si="26"/>
        <v>1</v>
      </c>
      <c r="BJ58" s="95" t="str">
        <f t="shared" si="27"/>
        <v>#VALUE!</v>
      </c>
      <c r="BK58" s="96" t="str">
        <f t="shared" si="28"/>
        <v>#VALUE!</v>
      </c>
      <c r="BM58" s="97">
        <f t="shared" si="29"/>
        <v>1</v>
      </c>
    </row>
    <row r="59" ht="12.75" customHeight="1">
      <c r="A59" s="65"/>
      <c r="B59" s="66" t="s">
        <v>160</v>
      </c>
      <c r="C59" s="67">
        <v>30000.0</v>
      </c>
      <c r="D59" s="68">
        <v>13.0</v>
      </c>
      <c r="E59" s="67">
        <v>29809.63</v>
      </c>
      <c r="F59" s="68" t="s">
        <v>64</v>
      </c>
      <c r="G59" s="69">
        <v>39873.0</v>
      </c>
      <c r="H59" s="71" t="s">
        <v>57</v>
      </c>
      <c r="I59" s="69">
        <v>39873.0</v>
      </c>
      <c r="J59" s="71">
        <f t="shared" si="1"/>
        <v>0</v>
      </c>
      <c r="K59" s="72" t="s">
        <v>161</v>
      </c>
      <c r="L59" s="72">
        <v>30369.350000000002</v>
      </c>
      <c r="M59" s="73">
        <v>0.0</v>
      </c>
      <c r="N59" s="73">
        <v>0.0</v>
      </c>
      <c r="O59" s="73">
        <v>0.0</v>
      </c>
      <c r="P59" s="73">
        <v>0.0</v>
      </c>
      <c r="Q59" s="73">
        <f t="shared" si="3"/>
        <v>0</v>
      </c>
      <c r="R59" s="74">
        <f t="shared" si="4"/>
        <v>0</v>
      </c>
      <c r="S59" s="74">
        <f t="shared" si="5"/>
        <v>1</v>
      </c>
      <c r="T59" s="75"/>
      <c r="V59" s="76"/>
      <c r="W59" s="77"/>
      <c r="X59" s="77"/>
      <c r="Y59" s="77"/>
      <c r="Z59" s="77"/>
      <c r="AA59" s="77"/>
      <c r="AB59" s="78">
        <f t="shared" si="6"/>
        <v>0</v>
      </c>
      <c r="AC59" s="77"/>
      <c r="AD59" s="79"/>
      <c r="AE59" s="80"/>
      <c r="AF59" s="81"/>
      <c r="AG59" s="79"/>
      <c r="AH59" s="80"/>
      <c r="AI59" s="82"/>
      <c r="AJ59" s="82">
        <f t="shared" si="7"/>
        <v>0</v>
      </c>
      <c r="AK59" s="83"/>
      <c r="AL59" s="84">
        <f t="shared" si="8"/>
        <v>0</v>
      </c>
      <c r="AP59" s="85">
        <f t="shared" si="9"/>
        <v>0</v>
      </c>
      <c r="AQ59" s="20">
        <f t="shared" si="10"/>
        <v>1</v>
      </c>
      <c r="AR59" s="20">
        <f t="shared" si="11"/>
        <v>0</v>
      </c>
      <c r="AS59" s="86">
        <f t="shared" si="12"/>
        <v>0</v>
      </c>
      <c r="AT59" s="87">
        <f t="shared" si="13"/>
        <v>0</v>
      </c>
      <c r="AU59" s="88">
        <f t="shared" si="14"/>
        <v>0</v>
      </c>
      <c r="AV59" s="89" t="str">
        <f t="shared" si="15"/>
        <v>#VALUE!</v>
      </c>
      <c r="AW59" s="90">
        <f t="shared" si="16"/>
        <v>0</v>
      </c>
      <c r="AY59" s="85">
        <f t="shared" si="17"/>
        <v>1</v>
      </c>
      <c r="AZ59" s="20">
        <f t="shared" si="18"/>
        <v>1</v>
      </c>
      <c r="BA59" s="20">
        <f t="shared" si="19"/>
        <v>1</v>
      </c>
      <c r="BB59" s="91">
        <f t="shared" si="20"/>
        <v>0</v>
      </c>
      <c r="BC59" s="87">
        <f t="shared" si="21"/>
        <v>29809.63</v>
      </c>
      <c r="BD59" s="92">
        <f t="shared" si="22"/>
        <v>0</v>
      </c>
      <c r="BE59" s="89" t="str">
        <f t="shared" si="23"/>
        <v>#VALUE!</v>
      </c>
      <c r="BF59" s="90" t="str">
        <f t="shared" si="24"/>
        <v>#VALUE!</v>
      </c>
      <c r="BH59" s="93">
        <f t="shared" si="25"/>
        <v>29809.63</v>
      </c>
      <c r="BI59" s="94">
        <f t="shared" si="26"/>
        <v>1</v>
      </c>
      <c r="BJ59" s="95" t="str">
        <f t="shared" si="27"/>
        <v>#VALUE!</v>
      </c>
      <c r="BK59" s="96" t="str">
        <f t="shared" si="28"/>
        <v>#VALUE!</v>
      </c>
      <c r="BM59" s="97">
        <f t="shared" si="29"/>
        <v>1</v>
      </c>
    </row>
    <row r="60" ht="12.75" customHeight="1">
      <c r="A60" s="65"/>
      <c r="B60" s="66" t="s">
        <v>162</v>
      </c>
      <c r="C60" s="67">
        <v>19750.5</v>
      </c>
      <c r="D60" s="68">
        <v>8.0</v>
      </c>
      <c r="E60" s="67">
        <v>19264.6</v>
      </c>
      <c r="F60" s="68" t="s">
        <v>64</v>
      </c>
      <c r="G60" s="69">
        <v>39873.0</v>
      </c>
      <c r="H60" s="71" t="s">
        <v>57</v>
      </c>
      <c r="I60" s="69">
        <v>39965.0</v>
      </c>
      <c r="J60" s="71">
        <f t="shared" si="1"/>
        <v>3.066666667</v>
      </c>
      <c r="K60" s="72" t="s">
        <v>163</v>
      </c>
      <c r="L60" s="72">
        <v>21264.6</v>
      </c>
      <c r="M60" s="73">
        <v>167.55</v>
      </c>
      <c r="N60" s="73">
        <v>0.0</v>
      </c>
      <c r="O60" s="73">
        <v>551.7</v>
      </c>
      <c r="P60" s="73">
        <f t="shared" ref="P60:P64" si="32">IF(L60="N/A",0,IF(L60-E60&gt;0,0,E60-L60))</f>
        <v>0</v>
      </c>
      <c r="Q60" s="73">
        <f t="shared" si="3"/>
        <v>0</v>
      </c>
      <c r="R60" s="74">
        <f t="shared" si="4"/>
        <v>0</v>
      </c>
      <c r="S60" s="74">
        <f t="shared" si="5"/>
        <v>1</v>
      </c>
      <c r="T60" s="75"/>
      <c r="V60" s="76"/>
      <c r="W60" s="77"/>
      <c r="X60" s="77"/>
      <c r="Y60" s="77"/>
      <c r="Z60" s="77"/>
      <c r="AA60" s="77"/>
      <c r="AB60" s="78">
        <f t="shared" si="6"/>
        <v>0</v>
      </c>
      <c r="AC60" s="77"/>
      <c r="AD60" s="79"/>
      <c r="AE60" s="80"/>
      <c r="AF60" s="81"/>
      <c r="AG60" s="79"/>
      <c r="AH60" s="80"/>
      <c r="AI60" s="82"/>
      <c r="AJ60" s="82">
        <f t="shared" si="7"/>
        <v>0</v>
      </c>
      <c r="AK60" s="83"/>
      <c r="AL60" s="84">
        <f t="shared" si="8"/>
        <v>0</v>
      </c>
      <c r="AP60" s="85">
        <f t="shared" si="9"/>
        <v>0</v>
      </c>
      <c r="AQ60" s="20">
        <f t="shared" si="10"/>
        <v>1</v>
      </c>
      <c r="AR60" s="20">
        <f t="shared" si="11"/>
        <v>0</v>
      </c>
      <c r="AS60" s="86">
        <f t="shared" si="12"/>
        <v>0</v>
      </c>
      <c r="AT60" s="87">
        <f t="shared" si="13"/>
        <v>0</v>
      </c>
      <c r="AU60" s="88">
        <f t="shared" si="14"/>
        <v>0</v>
      </c>
      <c r="AV60" s="89" t="str">
        <f t="shared" si="15"/>
        <v>#VALUE!</v>
      </c>
      <c r="AW60" s="90">
        <f t="shared" si="16"/>
        <v>0</v>
      </c>
      <c r="AY60" s="85">
        <f t="shared" si="17"/>
        <v>1</v>
      </c>
      <c r="AZ60" s="20">
        <f t="shared" si="18"/>
        <v>1</v>
      </c>
      <c r="BA60" s="20">
        <f t="shared" si="19"/>
        <v>1</v>
      </c>
      <c r="BB60" s="91">
        <f t="shared" si="20"/>
        <v>551.7</v>
      </c>
      <c r="BC60" s="87">
        <f t="shared" si="21"/>
        <v>19264.6</v>
      </c>
      <c r="BD60" s="92">
        <f t="shared" si="22"/>
        <v>3.066666667</v>
      </c>
      <c r="BE60" s="89" t="str">
        <f t="shared" si="23"/>
        <v>#VALUE!</v>
      </c>
      <c r="BF60" s="90" t="str">
        <f t="shared" si="24"/>
        <v>#VALUE!</v>
      </c>
      <c r="BH60" s="93">
        <f t="shared" si="25"/>
        <v>19264.6</v>
      </c>
      <c r="BI60" s="94">
        <f t="shared" si="26"/>
        <v>1</v>
      </c>
      <c r="BJ60" s="95" t="str">
        <f t="shared" si="27"/>
        <v>#VALUE!</v>
      </c>
      <c r="BK60" s="96" t="str">
        <f t="shared" si="28"/>
        <v>#VALUE!</v>
      </c>
      <c r="BM60" s="97">
        <f t="shared" si="29"/>
        <v>1</v>
      </c>
    </row>
    <row r="61" ht="12.75" customHeight="1">
      <c r="A61" s="65"/>
      <c r="B61" s="66" t="s">
        <v>164</v>
      </c>
      <c r="C61" s="67">
        <v>22320.0</v>
      </c>
      <c r="D61" s="68">
        <v>13.0</v>
      </c>
      <c r="E61" s="67">
        <f>21034.1+1113.93</f>
        <v>22148.03</v>
      </c>
      <c r="F61" s="68" t="s">
        <v>56</v>
      </c>
      <c r="G61" s="69">
        <v>39873.0</v>
      </c>
      <c r="H61" s="71" t="s">
        <v>57</v>
      </c>
      <c r="I61" s="69">
        <v>39995.0</v>
      </c>
      <c r="J61" s="71">
        <f t="shared" si="1"/>
        <v>4.066666667</v>
      </c>
      <c r="K61" s="72" t="s">
        <v>165</v>
      </c>
      <c r="L61" s="72">
        <v>24987.38</v>
      </c>
      <c r="M61" s="73">
        <v>128.72</v>
      </c>
      <c r="N61" s="73">
        <v>0.0</v>
      </c>
      <c r="O61" s="73">
        <v>0.0</v>
      </c>
      <c r="P61" s="73">
        <f t="shared" si="32"/>
        <v>0</v>
      </c>
      <c r="Q61" s="73">
        <f t="shared" si="3"/>
        <v>0</v>
      </c>
      <c r="R61" s="74">
        <f t="shared" si="4"/>
        <v>0</v>
      </c>
      <c r="S61" s="74">
        <f t="shared" si="5"/>
        <v>1</v>
      </c>
      <c r="T61" s="75"/>
      <c r="V61" s="76"/>
      <c r="W61" s="77"/>
      <c r="X61" s="77"/>
      <c r="Y61" s="77"/>
      <c r="Z61" s="77"/>
      <c r="AA61" s="77"/>
      <c r="AB61" s="78">
        <f t="shared" si="6"/>
        <v>0</v>
      </c>
      <c r="AC61" s="77"/>
      <c r="AD61" s="79"/>
      <c r="AE61" s="80"/>
      <c r="AF61" s="81"/>
      <c r="AG61" s="79"/>
      <c r="AH61" s="80"/>
      <c r="AI61" s="82"/>
      <c r="AJ61" s="82">
        <f t="shared" si="7"/>
        <v>0</v>
      </c>
      <c r="AK61" s="83"/>
      <c r="AL61" s="84">
        <f t="shared" si="8"/>
        <v>0</v>
      </c>
      <c r="AP61" s="85">
        <f t="shared" si="9"/>
        <v>1</v>
      </c>
      <c r="AQ61" s="20">
        <f t="shared" si="10"/>
        <v>1</v>
      </c>
      <c r="AR61" s="20">
        <f t="shared" si="11"/>
        <v>1</v>
      </c>
      <c r="AS61" s="86">
        <f t="shared" si="12"/>
        <v>0</v>
      </c>
      <c r="AT61" s="87">
        <f t="shared" si="13"/>
        <v>22148.03</v>
      </c>
      <c r="AU61" s="88">
        <f t="shared" si="14"/>
        <v>4.066666667</v>
      </c>
      <c r="AV61" s="89" t="str">
        <f t="shared" si="15"/>
        <v>#VALUE!</v>
      </c>
      <c r="AW61" s="90" t="str">
        <f t="shared" si="16"/>
        <v>#VALUE!</v>
      </c>
      <c r="AY61" s="85">
        <f t="shared" si="17"/>
        <v>0</v>
      </c>
      <c r="AZ61" s="20">
        <f t="shared" si="18"/>
        <v>1</v>
      </c>
      <c r="BA61" s="20">
        <f t="shared" si="19"/>
        <v>0</v>
      </c>
      <c r="BB61" s="91">
        <f t="shared" si="20"/>
        <v>0</v>
      </c>
      <c r="BC61" s="87">
        <f t="shared" si="21"/>
        <v>0</v>
      </c>
      <c r="BD61" s="92">
        <f t="shared" si="22"/>
        <v>0</v>
      </c>
      <c r="BE61" s="89" t="str">
        <f t="shared" si="23"/>
        <v>#VALUE!</v>
      </c>
      <c r="BF61" s="90">
        <f t="shared" si="24"/>
        <v>0</v>
      </c>
      <c r="BH61" s="93">
        <f t="shared" si="25"/>
        <v>22148.03</v>
      </c>
      <c r="BI61" s="94">
        <f t="shared" si="26"/>
        <v>1</v>
      </c>
      <c r="BJ61" s="95" t="str">
        <f t="shared" si="27"/>
        <v>#VALUE!</v>
      </c>
      <c r="BK61" s="96" t="str">
        <f t="shared" si="28"/>
        <v>#VALUE!</v>
      </c>
      <c r="BM61" s="97">
        <f t="shared" si="29"/>
        <v>1</v>
      </c>
    </row>
    <row r="62" ht="12.75" customHeight="1">
      <c r="A62" s="65"/>
      <c r="B62" s="66" t="s">
        <v>166</v>
      </c>
      <c r="C62" s="67">
        <v>24997.5</v>
      </c>
      <c r="D62" s="68">
        <v>11.0</v>
      </c>
      <c r="E62" s="67">
        <v>23862.12</v>
      </c>
      <c r="F62" s="68" t="s">
        <v>56</v>
      </c>
      <c r="G62" s="69">
        <v>39873.0</v>
      </c>
      <c r="H62" s="71" t="s">
        <v>57</v>
      </c>
      <c r="I62" s="69">
        <v>40029.0</v>
      </c>
      <c r="J62" s="71">
        <f t="shared" si="1"/>
        <v>5.2</v>
      </c>
      <c r="K62" s="72" t="s">
        <v>167</v>
      </c>
      <c r="L62" s="72">
        <v>24862.12</v>
      </c>
      <c r="M62" s="73">
        <v>725.9</v>
      </c>
      <c r="N62" s="73">
        <v>1036.01</v>
      </c>
      <c r="O62" s="73">
        <v>468.77</v>
      </c>
      <c r="P62" s="73">
        <f t="shared" si="32"/>
        <v>0</v>
      </c>
      <c r="Q62" s="73">
        <f t="shared" si="3"/>
        <v>1230.68</v>
      </c>
      <c r="R62" s="74">
        <f t="shared" si="4"/>
        <v>0.05157462958</v>
      </c>
      <c r="S62" s="74">
        <f t="shared" si="5"/>
        <v>0.9484253704</v>
      </c>
      <c r="T62" s="75"/>
      <c r="V62" s="76"/>
      <c r="W62" s="77"/>
      <c r="X62" s="77"/>
      <c r="Y62" s="77"/>
      <c r="Z62" s="77"/>
      <c r="AA62" s="77"/>
      <c r="AB62" s="78">
        <f t="shared" si="6"/>
        <v>0</v>
      </c>
      <c r="AC62" s="77"/>
      <c r="AD62" s="79"/>
      <c r="AE62" s="80"/>
      <c r="AF62" s="81"/>
      <c r="AG62" s="79"/>
      <c r="AH62" s="80"/>
      <c r="AI62" s="82"/>
      <c r="AJ62" s="82">
        <f t="shared" si="7"/>
        <v>0</v>
      </c>
      <c r="AK62" s="83"/>
      <c r="AL62" s="84">
        <f t="shared" si="8"/>
        <v>0</v>
      </c>
      <c r="AP62" s="85">
        <f t="shared" si="9"/>
        <v>1</v>
      </c>
      <c r="AQ62" s="20">
        <f t="shared" si="10"/>
        <v>1</v>
      </c>
      <c r="AR62" s="20">
        <f t="shared" si="11"/>
        <v>1</v>
      </c>
      <c r="AS62" s="86">
        <f t="shared" si="12"/>
        <v>1504.78</v>
      </c>
      <c r="AT62" s="87">
        <f t="shared" si="13"/>
        <v>23862.12</v>
      </c>
      <c r="AU62" s="88">
        <f t="shared" si="14"/>
        <v>5.2</v>
      </c>
      <c r="AV62" s="89" t="str">
        <f t="shared" si="15"/>
        <v>#VALUE!</v>
      </c>
      <c r="AW62" s="90" t="str">
        <f t="shared" si="16"/>
        <v>#VALUE!</v>
      </c>
      <c r="AY62" s="85">
        <f t="shared" si="17"/>
        <v>0</v>
      </c>
      <c r="AZ62" s="20">
        <f t="shared" si="18"/>
        <v>1</v>
      </c>
      <c r="BA62" s="20">
        <f t="shared" si="19"/>
        <v>0</v>
      </c>
      <c r="BB62" s="91">
        <f t="shared" si="20"/>
        <v>0</v>
      </c>
      <c r="BC62" s="87">
        <f t="shared" si="21"/>
        <v>0</v>
      </c>
      <c r="BD62" s="92">
        <f t="shared" si="22"/>
        <v>0</v>
      </c>
      <c r="BE62" s="89" t="str">
        <f t="shared" si="23"/>
        <v>#VALUE!</v>
      </c>
      <c r="BF62" s="90">
        <f t="shared" si="24"/>
        <v>0</v>
      </c>
      <c r="BH62" s="93">
        <f t="shared" si="25"/>
        <v>23862.12</v>
      </c>
      <c r="BI62" s="94">
        <f t="shared" si="26"/>
        <v>1</v>
      </c>
      <c r="BJ62" s="95" t="str">
        <f t="shared" si="27"/>
        <v>#VALUE!</v>
      </c>
      <c r="BK62" s="96" t="str">
        <f t="shared" si="28"/>
        <v>#VALUE!</v>
      </c>
      <c r="BM62" s="97">
        <f t="shared" si="29"/>
        <v>1</v>
      </c>
    </row>
    <row r="63" ht="12.75" customHeight="1">
      <c r="A63" s="65"/>
      <c r="B63" s="66" t="s">
        <v>168</v>
      </c>
      <c r="C63" s="67">
        <v>19350.0</v>
      </c>
      <c r="D63" s="68">
        <v>7.0</v>
      </c>
      <c r="E63" s="67">
        <f>17835.59+1996.23</f>
        <v>19831.82</v>
      </c>
      <c r="F63" s="68" t="s">
        <v>64</v>
      </c>
      <c r="G63" s="69">
        <v>39873.0</v>
      </c>
      <c r="H63" s="71" t="s">
        <v>57</v>
      </c>
      <c r="I63" s="69">
        <v>40056.0</v>
      </c>
      <c r="J63" s="71">
        <f t="shared" si="1"/>
        <v>6.1</v>
      </c>
      <c r="K63" s="72" t="s">
        <v>169</v>
      </c>
      <c r="L63" s="72">
        <v>22924.85</v>
      </c>
      <c r="M63" s="73">
        <v>263.62</v>
      </c>
      <c r="N63" s="73">
        <v>0.0</v>
      </c>
      <c r="O63" s="73">
        <v>0.0</v>
      </c>
      <c r="P63" s="73">
        <f t="shared" si="32"/>
        <v>0</v>
      </c>
      <c r="Q63" s="73">
        <f t="shared" si="3"/>
        <v>0</v>
      </c>
      <c r="R63" s="74">
        <f t="shared" si="4"/>
        <v>0</v>
      </c>
      <c r="S63" s="74">
        <f t="shared" si="5"/>
        <v>1</v>
      </c>
      <c r="T63" s="75"/>
      <c r="V63" s="76"/>
      <c r="W63" s="77"/>
      <c r="X63" s="77"/>
      <c r="Y63" s="77"/>
      <c r="Z63" s="77"/>
      <c r="AA63" s="77"/>
      <c r="AB63" s="78">
        <f t="shared" si="6"/>
        <v>0</v>
      </c>
      <c r="AC63" s="77"/>
      <c r="AD63" s="79"/>
      <c r="AE63" s="80"/>
      <c r="AF63" s="81"/>
      <c r="AG63" s="79"/>
      <c r="AH63" s="80"/>
      <c r="AI63" s="82"/>
      <c r="AJ63" s="82">
        <f t="shared" si="7"/>
        <v>0</v>
      </c>
      <c r="AK63" s="83"/>
      <c r="AL63" s="84">
        <f t="shared" si="8"/>
        <v>0</v>
      </c>
      <c r="AP63" s="85">
        <f t="shared" si="9"/>
        <v>0</v>
      </c>
      <c r="AQ63" s="20">
        <f t="shared" si="10"/>
        <v>1</v>
      </c>
      <c r="AR63" s="20">
        <f t="shared" si="11"/>
        <v>0</v>
      </c>
      <c r="AS63" s="86">
        <f t="shared" si="12"/>
        <v>0</v>
      </c>
      <c r="AT63" s="87">
        <f t="shared" si="13"/>
        <v>0</v>
      </c>
      <c r="AU63" s="88">
        <f t="shared" si="14"/>
        <v>0</v>
      </c>
      <c r="AV63" s="89" t="str">
        <f t="shared" si="15"/>
        <v>#VALUE!</v>
      </c>
      <c r="AW63" s="90">
        <f t="shared" si="16"/>
        <v>0</v>
      </c>
      <c r="AY63" s="85">
        <f t="shared" si="17"/>
        <v>1</v>
      </c>
      <c r="AZ63" s="20">
        <f t="shared" si="18"/>
        <v>1</v>
      </c>
      <c r="BA63" s="20">
        <f t="shared" si="19"/>
        <v>1</v>
      </c>
      <c r="BB63" s="91">
        <f t="shared" si="20"/>
        <v>0</v>
      </c>
      <c r="BC63" s="87">
        <f t="shared" si="21"/>
        <v>19831.82</v>
      </c>
      <c r="BD63" s="92">
        <f t="shared" si="22"/>
        <v>6.1</v>
      </c>
      <c r="BE63" s="89" t="str">
        <f t="shared" si="23"/>
        <v>#VALUE!</v>
      </c>
      <c r="BF63" s="90" t="str">
        <f t="shared" si="24"/>
        <v>#VALUE!</v>
      </c>
      <c r="BH63" s="93">
        <f t="shared" si="25"/>
        <v>19831.82</v>
      </c>
      <c r="BI63" s="94">
        <f t="shared" si="26"/>
        <v>1</v>
      </c>
      <c r="BJ63" s="95" t="str">
        <f t="shared" si="27"/>
        <v>#VALUE!</v>
      </c>
      <c r="BK63" s="96" t="str">
        <f t="shared" si="28"/>
        <v>#VALUE!</v>
      </c>
      <c r="BM63" s="97">
        <f t="shared" si="29"/>
        <v>1</v>
      </c>
    </row>
    <row r="64" ht="12.75" customHeight="1">
      <c r="A64" s="65"/>
      <c r="B64" s="66" t="s">
        <v>170</v>
      </c>
      <c r="C64" s="67">
        <v>17772.64</v>
      </c>
      <c r="D64" s="68">
        <v>7.0</v>
      </c>
      <c r="E64" s="67">
        <v>15942.73</v>
      </c>
      <c r="F64" s="68" t="s">
        <v>56</v>
      </c>
      <c r="G64" s="69">
        <v>39873.0</v>
      </c>
      <c r="H64" s="71" t="s">
        <v>57</v>
      </c>
      <c r="I64" s="69">
        <v>40156.0</v>
      </c>
      <c r="J64" s="71">
        <f t="shared" si="1"/>
        <v>9.433333333</v>
      </c>
      <c r="K64" s="72" t="s">
        <v>171</v>
      </c>
      <c r="L64" s="72">
        <v>19492.73</v>
      </c>
      <c r="M64" s="73">
        <v>202.73</v>
      </c>
      <c r="N64" s="73">
        <v>2673.0</v>
      </c>
      <c r="O64" s="73">
        <v>2010.93</v>
      </c>
      <c r="P64" s="73">
        <f t="shared" si="32"/>
        <v>0</v>
      </c>
      <c r="Q64" s="73">
        <f t="shared" si="3"/>
        <v>1336.66</v>
      </c>
      <c r="R64" s="74">
        <f t="shared" si="4"/>
        <v>0.08384134963</v>
      </c>
      <c r="S64" s="74">
        <f t="shared" si="5"/>
        <v>0.9161586504</v>
      </c>
      <c r="T64" s="75"/>
      <c r="V64" s="76"/>
      <c r="W64" s="77"/>
      <c r="X64" s="77"/>
      <c r="Y64" s="77"/>
      <c r="Z64" s="77"/>
      <c r="AA64" s="77"/>
      <c r="AB64" s="78">
        <f t="shared" si="6"/>
        <v>0</v>
      </c>
      <c r="AC64" s="77"/>
      <c r="AD64" s="79"/>
      <c r="AE64" s="80"/>
      <c r="AF64" s="81"/>
      <c r="AG64" s="79"/>
      <c r="AH64" s="80"/>
      <c r="AI64" s="82"/>
      <c r="AJ64" s="82">
        <f t="shared" si="7"/>
        <v>0</v>
      </c>
      <c r="AK64" s="83"/>
      <c r="AL64" s="84">
        <f t="shared" si="8"/>
        <v>0</v>
      </c>
      <c r="AP64" s="85">
        <f t="shared" si="9"/>
        <v>1</v>
      </c>
      <c r="AQ64" s="20">
        <f t="shared" si="10"/>
        <v>1</v>
      </c>
      <c r="AR64" s="20">
        <f t="shared" si="11"/>
        <v>1</v>
      </c>
      <c r="AS64" s="86">
        <f t="shared" si="12"/>
        <v>4683.93</v>
      </c>
      <c r="AT64" s="87">
        <f t="shared" si="13"/>
        <v>15942.73</v>
      </c>
      <c r="AU64" s="88">
        <f t="shared" si="14"/>
        <v>9.433333333</v>
      </c>
      <c r="AV64" s="89" t="str">
        <f t="shared" si="15"/>
        <v>#VALUE!</v>
      </c>
      <c r="AW64" s="90" t="str">
        <f t="shared" si="16"/>
        <v>#VALUE!</v>
      </c>
      <c r="AY64" s="85">
        <f t="shared" si="17"/>
        <v>0</v>
      </c>
      <c r="AZ64" s="20">
        <f t="shared" si="18"/>
        <v>1</v>
      </c>
      <c r="BA64" s="20">
        <f t="shared" si="19"/>
        <v>0</v>
      </c>
      <c r="BB64" s="91">
        <f t="shared" si="20"/>
        <v>0</v>
      </c>
      <c r="BC64" s="87">
        <f t="shared" si="21"/>
        <v>0</v>
      </c>
      <c r="BD64" s="92">
        <f t="shared" si="22"/>
        <v>0</v>
      </c>
      <c r="BE64" s="89" t="str">
        <f t="shared" si="23"/>
        <v>#VALUE!</v>
      </c>
      <c r="BF64" s="90">
        <f t="shared" si="24"/>
        <v>0</v>
      </c>
      <c r="BH64" s="93">
        <f t="shared" si="25"/>
        <v>15942.73</v>
      </c>
      <c r="BI64" s="94">
        <f t="shared" si="26"/>
        <v>1</v>
      </c>
      <c r="BJ64" s="95" t="str">
        <f t="shared" si="27"/>
        <v>#VALUE!</v>
      </c>
      <c r="BK64" s="96" t="str">
        <f t="shared" si="28"/>
        <v>#VALUE!</v>
      </c>
      <c r="BM64" s="97">
        <f t="shared" si="29"/>
        <v>1</v>
      </c>
    </row>
    <row r="65" ht="12.75" customHeight="1">
      <c r="A65" s="65"/>
      <c r="B65" s="66" t="s">
        <v>172</v>
      </c>
      <c r="C65" s="67">
        <v>20343.51</v>
      </c>
      <c r="D65" s="68">
        <v>10.0</v>
      </c>
      <c r="E65" s="67">
        <v>19445.25</v>
      </c>
      <c r="F65" s="68" t="s">
        <v>56</v>
      </c>
      <c r="G65" s="69">
        <v>39924.0</v>
      </c>
      <c r="H65" s="71" t="s">
        <v>57</v>
      </c>
      <c r="I65" s="69">
        <v>40026.0</v>
      </c>
      <c r="J65" s="71">
        <f t="shared" si="1"/>
        <v>3.4</v>
      </c>
      <c r="K65" s="72" t="s">
        <v>173</v>
      </c>
      <c r="L65" s="72">
        <v>22149.65</v>
      </c>
      <c r="M65" s="73">
        <v>1689.25</v>
      </c>
      <c r="N65" s="73">
        <v>3786.45</v>
      </c>
      <c r="O65" s="73">
        <v>0.0</v>
      </c>
      <c r="P65" s="73">
        <v>0.0</v>
      </c>
      <c r="Q65" s="73">
        <f t="shared" si="3"/>
        <v>2771.3</v>
      </c>
      <c r="R65" s="74">
        <f t="shared" si="4"/>
        <v>0.1425180957</v>
      </c>
      <c r="S65" s="74">
        <f t="shared" si="5"/>
        <v>0.8574819043</v>
      </c>
      <c r="T65" s="75"/>
      <c r="V65" s="76"/>
      <c r="W65" s="77"/>
      <c r="X65" s="77"/>
      <c r="Y65" s="77"/>
      <c r="Z65" s="77"/>
      <c r="AA65" s="77"/>
      <c r="AB65" s="78">
        <f t="shared" si="6"/>
        <v>0</v>
      </c>
      <c r="AC65" s="77"/>
      <c r="AD65" s="79"/>
      <c r="AE65" s="80"/>
      <c r="AF65" s="81"/>
      <c r="AG65" s="79"/>
      <c r="AH65" s="80"/>
      <c r="AI65" s="82"/>
      <c r="AJ65" s="82">
        <f t="shared" si="7"/>
        <v>0</v>
      </c>
      <c r="AK65" s="83"/>
      <c r="AL65" s="84">
        <f t="shared" si="8"/>
        <v>0</v>
      </c>
      <c r="AP65" s="85">
        <f t="shared" si="9"/>
        <v>1</v>
      </c>
      <c r="AQ65" s="20">
        <f t="shared" si="10"/>
        <v>1</v>
      </c>
      <c r="AR65" s="20">
        <f t="shared" si="11"/>
        <v>1</v>
      </c>
      <c r="AS65" s="86">
        <f t="shared" si="12"/>
        <v>3786.45</v>
      </c>
      <c r="AT65" s="87">
        <f t="shared" si="13"/>
        <v>19445.25</v>
      </c>
      <c r="AU65" s="88">
        <f t="shared" si="14"/>
        <v>3.4</v>
      </c>
      <c r="AV65" s="89" t="str">
        <f t="shared" si="15"/>
        <v>#VALUE!</v>
      </c>
      <c r="AW65" s="90" t="str">
        <f t="shared" si="16"/>
        <v>#VALUE!</v>
      </c>
      <c r="AY65" s="85">
        <f t="shared" si="17"/>
        <v>0</v>
      </c>
      <c r="AZ65" s="20">
        <f t="shared" si="18"/>
        <v>1</v>
      </c>
      <c r="BA65" s="20">
        <f t="shared" si="19"/>
        <v>0</v>
      </c>
      <c r="BB65" s="91">
        <f t="shared" si="20"/>
        <v>0</v>
      </c>
      <c r="BC65" s="87">
        <f t="shared" si="21"/>
        <v>0</v>
      </c>
      <c r="BD65" s="92">
        <f t="shared" si="22"/>
        <v>0</v>
      </c>
      <c r="BE65" s="89" t="str">
        <f t="shared" si="23"/>
        <v>#VALUE!</v>
      </c>
      <c r="BF65" s="90">
        <f t="shared" si="24"/>
        <v>0</v>
      </c>
      <c r="BH65" s="93">
        <f t="shared" si="25"/>
        <v>19445.25</v>
      </c>
      <c r="BI65" s="94">
        <f t="shared" si="26"/>
        <v>1</v>
      </c>
      <c r="BJ65" s="95" t="str">
        <f t="shared" si="27"/>
        <v>#VALUE!</v>
      </c>
      <c r="BK65" s="96" t="str">
        <f t="shared" si="28"/>
        <v>#VALUE!</v>
      </c>
      <c r="BM65" s="97">
        <f t="shared" si="29"/>
        <v>1</v>
      </c>
    </row>
    <row r="66" ht="12.75" customHeight="1">
      <c r="A66" s="65"/>
      <c r="B66" s="66" t="s">
        <v>174</v>
      </c>
      <c r="C66" s="67">
        <v>27502.5</v>
      </c>
      <c r="D66" s="68">
        <v>13.0</v>
      </c>
      <c r="E66" s="67">
        <v>25123.56</v>
      </c>
      <c r="F66" s="68" t="s">
        <v>56</v>
      </c>
      <c r="G66" s="69">
        <v>39925.0</v>
      </c>
      <c r="H66" s="71" t="s">
        <v>57</v>
      </c>
      <c r="I66" s="69">
        <v>39995.0</v>
      </c>
      <c r="J66" s="71">
        <f t="shared" si="1"/>
        <v>2.333333333</v>
      </c>
      <c r="K66" s="72" t="s">
        <v>175</v>
      </c>
      <c r="L66" s="72">
        <v>27512.46</v>
      </c>
      <c r="M66" s="73">
        <v>123.46</v>
      </c>
      <c r="N66" s="73">
        <v>6917.82</v>
      </c>
      <c r="O66" s="73">
        <v>0.0</v>
      </c>
      <c r="P66" s="73">
        <f t="shared" ref="P66:P72" si="33">IF(L66="N/A",0,IF(L66-E66&gt;0,0,E66-L66))</f>
        <v>0</v>
      </c>
      <c r="Q66" s="73">
        <f t="shared" si="3"/>
        <v>4652.38</v>
      </c>
      <c r="R66" s="74">
        <f t="shared" si="4"/>
        <v>0.1851799665</v>
      </c>
      <c r="S66" s="74">
        <f t="shared" si="5"/>
        <v>0.8148200335</v>
      </c>
      <c r="T66" s="75"/>
      <c r="V66" s="76"/>
      <c r="W66" s="77"/>
      <c r="X66" s="77"/>
      <c r="Y66" s="77"/>
      <c r="Z66" s="77"/>
      <c r="AA66" s="77"/>
      <c r="AB66" s="78">
        <f t="shared" si="6"/>
        <v>0</v>
      </c>
      <c r="AC66" s="77"/>
      <c r="AD66" s="79"/>
      <c r="AE66" s="80"/>
      <c r="AF66" s="81"/>
      <c r="AG66" s="79"/>
      <c r="AH66" s="80"/>
      <c r="AI66" s="82"/>
      <c r="AJ66" s="82">
        <f t="shared" si="7"/>
        <v>0</v>
      </c>
      <c r="AK66" s="83"/>
      <c r="AL66" s="84">
        <f t="shared" si="8"/>
        <v>0</v>
      </c>
      <c r="AP66" s="85">
        <f t="shared" si="9"/>
        <v>1</v>
      </c>
      <c r="AQ66" s="20">
        <f t="shared" si="10"/>
        <v>1</v>
      </c>
      <c r="AR66" s="20">
        <f t="shared" si="11"/>
        <v>1</v>
      </c>
      <c r="AS66" s="86">
        <f t="shared" si="12"/>
        <v>6917.82</v>
      </c>
      <c r="AT66" s="87">
        <f t="shared" si="13"/>
        <v>25123.56</v>
      </c>
      <c r="AU66" s="88">
        <f t="shared" si="14"/>
        <v>2.333333333</v>
      </c>
      <c r="AV66" s="89" t="str">
        <f t="shared" si="15"/>
        <v>#VALUE!</v>
      </c>
      <c r="AW66" s="90" t="str">
        <f t="shared" si="16"/>
        <v>#VALUE!</v>
      </c>
      <c r="AY66" s="85">
        <f t="shared" si="17"/>
        <v>0</v>
      </c>
      <c r="AZ66" s="20">
        <f t="shared" si="18"/>
        <v>1</v>
      </c>
      <c r="BA66" s="20">
        <f t="shared" si="19"/>
        <v>0</v>
      </c>
      <c r="BB66" s="91">
        <f t="shared" si="20"/>
        <v>0</v>
      </c>
      <c r="BC66" s="87">
        <f t="shared" si="21"/>
        <v>0</v>
      </c>
      <c r="BD66" s="92">
        <f t="shared" si="22"/>
        <v>0</v>
      </c>
      <c r="BE66" s="89" t="str">
        <f t="shared" si="23"/>
        <v>#VALUE!</v>
      </c>
      <c r="BF66" s="90">
        <f t="shared" si="24"/>
        <v>0</v>
      </c>
      <c r="BH66" s="93">
        <f t="shared" si="25"/>
        <v>25123.56</v>
      </c>
      <c r="BI66" s="94">
        <f t="shared" si="26"/>
        <v>1</v>
      </c>
      <c r="BJ66" s="95" t="str">
        <f t="shared" si="27"/>
        <v>#VALUE!</v>
      </c>
      <c r="BK66" s="96" t="str">
        <f t="shared" si="28"/>
        <v>#VALUE!</v>
      </c>
      <c r="BM66" s="97">
        <f t="shared" si="29"/>
        <v>1</v>
      </c>
    </row>
    <row r="67" ht="12.75" customHeight="1">
      <c r="A67" s="65"/>
      <c r="B67" s="66" t="s">
        <v>176</v>
      </c>
      <c r="C67" s="67">
        <v>19350.0</v>
      </c>
      <c r="D67" s="68">
        <v>7.0</v>
      </c>
      <c r="E67" s="67">
        <f>13829.18+5122.21</f>
        <v>18951.39</v>
      </c>
      <c r="F67" s="68" t="s">
        <v>64</v>
      </c>
      <c r="G67" s="69">
        <v>39965.0</v>
      </c>
      <c r="H67" s="71" t="s">
        <v>57</v>
      </c>
      <c r="I67" s="69">
        <v>40026.0</v>
      </c>
      <c r="J67" s="71">
        <f t="shared" si="1"/>
        <v>2.033333333</v>
      </c>
      <c r="K67" s="72" t="s">
        <v>177</v>
      </c>
      <c r="L67" s="72">
        <v>19878.75</v>
      </c>
      <c r="M67" s="73">
        <v>382.33000000000004</v>
      </c>
      <c r="N67" s="73">
        <v>1608.0</v>
      </c>
      <c r="O67" s="73">
        <v>0.0</v>
      </c>
      <c r="P67" s="73">
        <f t="shared" si="33"/>
        <v>0</v>
      </c>
      <c r="Q67" s="73">
        <f t="shared" si="3"/>
        <v>1062.97</v>
      </c>
      <c r="R67" s="74">
        <f t="shared" si="4"/>
        <v>0.05608928949</v>
      </c>
      <c r="S67" s="74">
        <f t="shared" si="5"/>
        <v>0.9439107105</v>
      </c>
      <c r="T67" s="75"/>
      <c r="V67" s="76"/>
      <c r="W67" s="77"/>
      <c r="X67" s="77"/>
      <c r="Y67" s="77"/>
      <c r="Z67" s="77"/>
      <c r="AA67" s="77"/>
      <c r="AB67" s="78">
        <f t="shared" si="6"/>
        <v>0</v>
      </c>
      <c r="AC67" s="77"/>
      <c r="AD67" s="79"/>
      <c r="AE67" s="80"/>
      <c r="AF67" s="81"/>
      <c r="AG67" s="79"/>
      <c r="AH67" s="80"/>
      <c r="AI67" s="82"/>
      <c r="AJ67" s="82">
        <f t="shared" si="7"/>
        <v>0</v>
      </c>
      <c r="AK67" s="83"/>
      <c r="AL67" s="84">
        <f t="shared" si="8"/>
        <v>0</v>
      </c>
      <c r="AP67" s="85">
        <f t="shared" si="9"/>
        <v>0</v>
      </c>
      <c r="AQ67" s="20">
        <f t="shared" si="10"/>
        <v>1</v>
      </c>
      <c r="AR67" s="20">
        <f t="shared" si="11"/>
        <v>0</v>
      </c>
      <c r="AS67" s="86">
        <f t="shared" si="12"/>
        <v>0</v>
      </c>
      <c r="AT67" s="87">
        <f t="shared" si="13"/>
        <v>0</v>
      </c>
      <c r="AU67" s="88">
        <f t="shared" si="14"/>
        <v>0</v>
      </c>
      <c r="AV67" s="89" t="str">
        <f t="shared" si="15"/>
        <v>#VALUE!</v>
      </c>
      <c r="AW67" s="90">
        <f t="shared" si="16"/>
        <v>0</v>
      </c>
      <c r="AY67" s="85">
        <f t="shared" si="17"/>
        <v>1</v>
      </c>
      <c r="AZ67" s="20">
        <f t="shared" si="18"/>
        <v>1</v>
      </c>
      <c r="BA67" s="20">
        <f t="shared" si="19"/>
        <v>1</v>
      </c>
      <c r="BB67" s="91">
        <f t="shared" si="20"/>
        <v>1608</v>
      </c>
      <c r="BC67" s="87">
        <f t="shared" si="21"/>
        <v>18951.39</v>
      </c>
      <c r="BD67" s="92">
        <f t="shared" si="22"/>
        <v>2.033333333</v>
      </c>
      <c r="BE67" s="89" t="str">
        <f t="shared" si="23"/>
        <v>#VALUE!</v>
      </c>
      <c r="BF67" s="90" t="str">
        <f t="shared" si="24"/>
        <v>#VALUE!</v>
      </c>
      <c r="BH67" s="93">
        <f t="shared" si="25"/>
        <v>18951.39</v>
      </c>
      <c r="BI67" s="94">
        <f t="shared" si="26"/>
        <v>1</v>
      </c>
      <c r="BJ67" s="95" t="str">
        <f t="shared" si="27"/>
        <v>#VALUE!</v>
      </c>
      <c r="BK67" s="96" t="str">
        <f t="shared" si="28"/>
        <v>#VALUE!</v>
      </c>
      <c r="BM67" s="97">
        <f t="shared" si="29"/>
        <v>1</v>
      </c>
    </row>
    <row r="68" ht="12.75" customHeight="1">
      <c r="A68" s="65"/>
      <c r="B68" s="66" t="s">
        <v>178</v>
      </c>
      <c r="C68" s="67">
        <v>21565.0</v>
      </c>
      <c r="D68" s="68">
        <v>13.0</v>
      </c>
      <c r="E68" s="67">
        <f>18653.73+2130.89</f>
        <v>20784.62</v>
      </c>
      <c r="F68" s="68" t="s">
        <v>64</v>
      </c>
      <c r="G68" s="69">
        <v>39965.0</v>
      </c>
      <c r="H68" s="71" t="s">
        <v>57</v>
      </c>
      <c r="I68" s="69">
        <v>40118.0</v>
      </c>
      <c r="J68" s="71">
        <f t="shared" si="1"/>
        <v>5.1</v>
      </c>
      <c r="K68" s="72" t="s">
        <v>179</v>
      </c>
      <c r="L68" s="72">
        <v>23500.0</v>
      </c>
      <c r="M68" s="73">
        <v>529.72</v>
      </c>
      <c r="N68" s="73">
        <v>1698.47</v>
      </c>
      <c r="O68" s="73">
        <v>3389.5</v>
      </c>
      <c r="P68" s="73">
        <f t="shared" si="33"/>
        <v>0</v>
      </c>
      <c r="Q68" s="73">
        <f t="shared" si="3"/>
        <v>2902.31</v>
      </c>
      <c r="R68" s="74">
        <f t="shared" si="4"/>
        <v>0.1396373857</v>
      </c>
      <c r="S68" s="74">
        <f t="shared" si="5"/>
        <v>0.8603626143</v>
      </c>
      <c r="T68" s="75"/>
      <c r="V68" s="76"/>
      <c r="W68" s="77"/>
      <c r="X68" s="77"/>
      <c r="Y68" s="77"/>
      <c r="Z68" s="77"/>
      <c r="AA68" s="77"/>
      <c r="AB68" s="78">
        <f t="shared" si="6"/>
        <v>0</v>
      </c>
      <c r="AC68" s="77"/>
      <c r="AD68" s="79"/>
      <c r="AE68" s="80"/>
      <c r="AF68" s="81"/>
      <c r="AG68" s="79"/>
      <c r="AH68" s="80"/>
      <c r="AI68" s="82"/>
      <c r="AJ68" s="82">
        <f t="shared" si="7"/>
        <v>0</v>
      </c>
      <c r="AK68" s="83"/>
      <c r="AL68" s="84">
        <f t="shared" si="8"/>
        <v>0</v>
      </c>
      <c r="AP68" s="85">
        <f t="shared" si="9"/>
        <v>0</v>
      </c>
      <c r="AQ68" s="20">
        <f t="shared" si="10"/>
        <v>1</v>
      </c>
      <c r="AR68" s="20">
        <f t="shared" si="11"/>
        <v>0</v>
      </c>
      <c r="AS68" s="86">
        <f t="shared" si="12"/>
        <v>0</v>
      </c>
      <c r="AT68" s="87">
        <f t="shared" si="13"/>
        <v>0</v>
      </c>
      <c r="AU68" s="88">
        <f t="shared" si="14"/>
        <v>0</v>
      </c>
      <c r="AV68" s="89" t="str">
        <f t="shared" si="15"/>
        <v>#VALUE!</v>
      </c>
      <c r="AW68" s="90">
        <f t="shared" si="16"/>
        <v>0</v>
      </c>
      <c r="AY68" s="85">
        <f t="shared" si="17"/>
        <v>1</v>
      </c>
      <c r="AZ68" s="20">
        <f t="shared" si="18"/>
        <v>1</v>
      </c>
      <c r="BA68" s="20">
        <f t="shared" si="19"/>
        <v>1</v>
      </c>
      <c r="BB68" s="91">
        <f t="shared" si="20"/>
        <v>5087.97</v>
      </c>
      <c r="BC68" s="87">
        <f t="shared" si="21"/>
        <v>20784.62</v>
      </c>
      <c r="BD68" s="92">
        <f t="shared" si="22"/>
        <v>5.1</v>
      </c>
      <c r="BE68" s="89" t="str">
        <f t="shared" si="23"/>
        <v>#VALUE!</v>
      </c>
      <c r="BF68" s="90" t="str">
        <f t="shared" si="24"/>
        <v>#VALUE!</v>
      </c>
      <c r="BH68" s="93">
        <f t="shared" si="25"/>
        <v>20784.62</v>
      </c>
      <c r="BI68" s="94">
        <f t="shared" si="26"/>
        <v>1</v>
      </c>
      <c r="BJ68" s="95" t="str">
        <f t="shared" si="27"/>
        <v>#VALUE!</v>
      </c>
      <c r="BK68" s="96" t="str">
        <f t="shared" si="28"/>
        <v>#VALUE!</v>
      </c>
      <c r="BM68" s="97">
        <f t="shared" si="29"/>
        <v>1</v>
      </c>
    </row>
    <row r="69" ht="12.75" customHeight="1">
      <c r="A69" s="65"/>
      <c r="B69" s="66" t="s">
        <v>180</v>
      </c>
      <c r="C69" s="67">
        <v>17524.01</v>
      </c>
      <c r="D69" s="68">
        <v>13.0</v>
      </c>
      <c r="E69" s="67">
        <v>17524.01</v>
      </c>
      <c r="F69" s="68" t="s">
        <v>56</v>
      </c>
      <c r="G69" s="69">
        <v>39965.0</v>
      </c>
      <c r="H69" s="71" t="s">
        <v>57</v>
      </c>
      <c r="I69" s="69">
        <v>40509.0</v>
      </c>
      <c r="J69" s="71">
        <f t="shared" si="1"/>
        <v>18.13333333</v>
      </c>
      <c r="K69" s="72" t="s">
        <v>181</v>
      </c>
      <c r="L69" s="72">
        <v>19132.58</v>
      </c>
      <c r="M69" s="73">
        <v>27.34</v>
      </c>
      <c r="N69" s="73">
        <v>5041.11</v>
      </c>
      <c r="O69" s="73">
        <v>37.46</v>
      </c>
      <c r="P69" s="73">
        <f t="shared" si="33"/>
        <v>0</v>
      </c>
      <c r="Q69" s="73">
        <f t="shared" si="3"/>
        <v>3497.34</v>
      </c>
      <c r="R69" s="74">
        <f t="shared" si="4"/>
        <v>0.1995741842</v>
      </c>
      <c r="S69" s="74">
        <f t="shared" si="5"/>
        <v>0.8004258158</v>
      </c>
      <c r="T69" s="75"/>
      <c r="V69" s="76"/>
      <c r="W69" s="77"/>
      <c r="X69" s="77"/>
      <c r="Y69" s="77"/>
      <c r="Z69" s="77"/>
      <c r="AA69" s="77"/>
      <c r="AB69" s="78">
        <f t="shared" si="6"/>
        <v>0</v>
      </c>
      <c r="AC69" s="77"/>
      <c r="AD69" s="79"/>
      <c r="AE69" s="80"/>
      <c r="AF69" s="81"/>
      <c r="AG69" s="79"/>
      <c r="AH69" s="80"/>
      <c r="AI69" s="82"/>
      <c r="AJ69" s="82">
        <f t="shared" si="7"/>
        <v>0</v>
      </c>
      <c r="AK69" s="83"/>
      <c r="AL69" s="84">
        <f t="shared" si="8"/>
        <v>0</v>
      </c>
      <c r="AP69" s="85">
        <f t="shared" si="9"/>
        <v>1</v>
      </c>
      <c r="AQ69" s="20">
        <f t="shared" si="10"/>
        <v>1</v>
      </c>
      <c r="AR69" s="20">
        <f t="shared" si="11"/>
        <v>1</v>
      </c>
      <c r="AS69" s="86">
        <f t="shared" si="12"/>
        <v>5078.57</v>
      </c>
      <c r="AT69" s="87">
        <f t="shared" si="13"/>
        <v>17524.01</v>
      </c>
      <c r="AU69" s="88">
        <f t="shared" si="14"/>
        <v>18.13333333</v>
      </c>
      <c r="AV69" s="89" t="str">
        <f t="shared" si="15"/>
        <v>#VALUE!</v>
      </c>
      <c r="AW69" s="90" t="str">
        <f t="shared" si="16"/>
        <v>#VALUE!</v>
      </c>
      <c r="AY69" s="85">
        <f t="shared" si="17"/>
        <v>0</v>
      </c>
      <c r="AZ69" s="20">
        <f t="shared" si="18"/>
        <v>1</v>
      </c>
      <c r="BA69" s="20">
        <f t="shared" si="19"/>
        <v>0</v>
      </c>
      <c r="BB69" s="91">
        <f t="shared" si="20"/>
        <v>0</v>
      </c>
      <c r="BC69" s="87">
        <f t="shared" si="21"/>
        <v>0</v>
      </c>
      <c r="BD69" s="92">
        <f t="shared" si="22"/>
        <v>0</v>
      </c>
      <c r="BE69" s="89" t="str">
        <f t="shared" si="23"/>
        <v>#VALUE!</v>
      </c>
      <c r="BF69" s="90">
        <f t="shared" si="24"/>
        <v>0</v>
      </c>
      <c r="BH69" s="93">
        <f t="shared" si="25"/>
        <v>17524.01</v>
      </c>
      <c r="BI69" s="94">
        <f t="shared" si="26"/>
        <v>1</v>
      </c>
      <c r="BJ69" s="95" t="str">
        <f t="shared" si="27"/>
        <v>#VALUE!</v>
      </c>
      <c r="BK69" s="96" t="str">
        <f t="shared" si="28"/>
        <v>#VALUE!</v>
      </c>
      <c r="BM69" s="97">
        <f t="shared" si="29"/>
        <v>1</v>
      </c>
    </row>
    <row r="70" ht="12.75" customHeight="1">
      <c r="A70" s="65"/>
      <c r="B70" s="66" t="s">
        <v>182</v>
      </c>
      <c r="C70" s="67">
        <v>21365.5</v>
      </c>
      <c r="D70" s="68">
        <v>13.0</v>
      </c>
      <c r="E70" s="67">
        <v>18271.18</v>
      </c>
      <c r="F70" s="68" t="s">
        <v>56</v>
      </c>
      <c r="G70" s="69">
        <v>39972.0</v>
      </c>
      <c r="H70" s="71" t="s">
        <v>57</v>
      </c>
      <c r="I70" s="69">
        <v>39967.0</v>
      </c>
      <c r="J70" s="71">
        <f t="shared" si="1"/>
        <v>-0.1666666667</v>
      </c>
      <c r="K70" s="72" t="s">
        <v>69</v>
      </c>
      <c r="L70" s="72">
        <v>23378.87</v>
      </c>
      <c r="M70" s="73">
        <v>3232.46</v>
      </c>
      <c r="N70" s="73">
        <v>4185.05</v>
      </c>
      <c r="O70" s="73">
        <v>0.0</v>
      </c>
      <c r="P70" s="73">
        <f t="shared" si="33"/>
        <v>0</v>
      </c>
      <c r="Q70" s="73">
        <f t="shared" si="3"/>
        <v>2309.82</v>
      </c>
      <c r="R70" s="74">
        <f t="shared" si="4"/>
        <v>0.1264187644</v>
      </c>
      <c r="S70" s="74">
        <f t="shared" si="5"/>
        <v>0.8735812356</v>
      </c>
      <c r="T70" s="75"/>
      <c r="V70" s="76"/>
      <c r="W70" s="77"/>
      <c r="X70" s="77"/>
      <c r="Y70" s="77"/>
      <c r="Z70" s="77"/>
      <c r="AA70" s="77"/>
      <c r="AB70" s="78">
        <f t="shared" si="6"/>
        <v>0</v>
      </c>
      <c r="AC70" s="77"/>
      <c r="AD70" s="79"/>
      <c r="AE70" s="80"/>
      <c r="AF70" s="81"/>
      <c r="AG70" s="79"/>
      <c r="AH70" s="80"/>
      <c r="AI70" s="82"/>
      <c r="AJ70" s="82">
        <f t="shared" si="7"/>
        <v>0</v>
      </c>
      <c r="AK70" s="83"/>
      <c r="AL70" s="84">
        <f t="shared" si="8"/>
        <v>0</v>
      </c>
      <c r="AP70" s="85">
        <f t="shared" si="9"/>
        <v>1</v>
      </c>
      <c r="AQ70" s="20">
        <f t="shared" si="10"/>
        <v>1</v>
      </c>
      <c r="AR70" s="20">
        <f t="shared" si="11"/>
        <v>1</v>
      </c>
      <c r="AS70" s="86">
        <f t="shared" si="12"/>
        <v>4185.05</v>
      </c>
      <c r="AT70" s="87">
        <f t="shared" si="13"/>
        <v>18271.18</v>
      </c>
      <c r="AU70" s="88">
        <f t="shared" si="14"/>
        <v>-0.1666666667</v>
      </c>
      <c r="AV70" s="89" t="str">
        <f t="shared" si="15"/>
        <v>#VALUE!</v>
      </c>
      <c r="AW70" s="90" t="str">
        <f t="shared" si="16"/>
        <v>#VALUE!</v>
      </c>
      <c r="AY70" s="85">
        <f t="shared" si="17"/>
        <v>0</v>
      </c>
      <c r="AZ70" s="20">
        <f t="shared" si="18"/>
        <v>1</v>
      </c>
      <c r="BA70" s="20">
        <f t="shared" si="19"/>
        <v>0</v>
      </c>
      <c r="BB70" s="91">
        <f t="shared" si="20"/>
        <v>0</v>
      </c>
      <c r="BC70" s="87">
        <f t="shared" si="21"/>
        <v>0</v>
      </c>
      <c r="BD70" s="92">
        <f t="shared" si="22"/>
        <v>0</v>
      </c>
      <c r="BE70" s="89" t="str">
        <f t="shared" si="23"/>
        <v>#VALUE!</v>
      </c>
      <c r="BF70" s="90">
        <f t="shared" si="24"/>
        <v>0</v>
      </c>
      <c r="BH70" s="93">
        <f t="shared" si="25"/>
        <v>18271.18</v>
      </c>
      <c r="BI70" s="94">
        <f t="shared" si="26"/>
        <v>1</v>
      </c>
      <c r="BJ70" s="95" t="str">
        <f t="shared" si="27"/>
        <v>#VALUE!</v>
      </c>
      <c r="BK70" s="96" t="str">
        <f t="shared" si="28"/>
        <v>#VALUE!</v>
      </c>
      <c r="BM70" s="97">
        <f t="shared" si="29"/>
        <v>1</v>
      </c>
    </row>
    <row r="71" ht="12.75" customHeight="1">
      <c r="A71" s="65"/>
      <c r="B71" s="66" t="s">
        <v>183</v>
      </c>
      <c r="C71" s="67">
        <v>26460.0</v>
      </c>
      <c r="D71" s="68">
        <v>13.0</v>
      </c>
      <c r="E71" s="67">
        <f>24595.13+1396.59</f>
        <v>25991.72</v>
      </c>
      <c r="F71" s="68" t="s">
        <v>64</v>
      </c>
      <c r="G71" s="69">
        <v>40056.0</v>
      </c>
      <c r="H71" s="71" t="s">
        <v>57</v>
      </c>
      <c r="I71" s="69">
        <v>40147.0</v>
      </c>
      <c r="J71" s="71">
        <f t="shared" si="1"/>
        <v>3.033333333</v>
      </c>
      <c r="K71" s="72" t="s">
        <v>184</v>
      </c>
      <c r="L71" s="72">
        <v>30000.0</v>
      </c>
      <c r="M71" s="73">
        <v>1115.84</v>
      </c>
      <c r="N71" s="73">
        <v>1691.34</v>
      </c>
      <c r="O71" s="73">
        <v>1796.95</v>
      </c>
      <c r="P71" s="73">
        <f t="shared" si="33"/>
        <v>0</v>
      </c>
      <c r="Q71" s="73">
        <f t="shared" si="3"/>
        <v>595.85</v>
      </c>
      <c r="R71" s="74">
        <f t="shared" si="4"/>
        <v>0.0229246083</v>
      </c>
      <c r="S71" s="74">
        <f t="shared" si="5"/>
        <v>0.9770753917</v>
      </c>
      <c r="T71" s="75"/>
      <c r="V71" s="76"/>
      <c r="W71" s="77"/>
      <c r="X71" s="77"/>
      <c r="Y71" s="77"/>
      <c r="Z71" s="77"/>
      <c r="AA71" s="77"/>
      <c r="AB71" s="78">
        <f t="shared" si="6"/>
        <v>0</v>
      </c>
      <c r="AC71" s="77"/>
      <c r="AD71" s="79"/>
      <c r="AE71" s="80"/>
      <c r="AF71" s="81"/>
      <c r="AG71" s="79"/>
      <c r="AH71" s="80"/>
      <c r="AI71" s="82"/>
      <c r="AJ71" s="82">
        <f t="shared" si="7"/>
        <v>0</v>
      </c>
      <c r="AK71" s="83"/>
      <c r="AL71" s="84">
        <f t="shared" si="8"/>
        <v>0</v>
      </c>
      <c r="AP71" s="85">
        <f t="shared" si="9"/>
        <v>0</v>
      </c>
      <c r="AQ71" s="20">
        <f t="shared" si="10"/>
        <v>1</v>
      </c>
      <c r="AR71" s="20">
        <f t="shared" si="11"/>
        <v>0</v>
      </c>
      <c r="AS71" s="86">
        <f t="shared" si="12"/>
        <v>0</v>
      </c>
      <c r="AT71" s="87">
        <f t="shared" si="13"/>
        <v>0</v>
      </c>
      <c r="AU71" s="88">
        <f t="shared" si="14"/>
        <v>0</v>
      </c>
      <c r="AV71" s="89" t="str">
        <f t="shared" si="15"/>
        <v>#VALUE!</v>
      </c>
      <c r="AW71" s="90">
        <f t="shared" si="16"/>
        <v>0</v>
      </c>
      <c r="AY71" s="85">
        <f t="shared" si="17"/>
        <v>1</v>
      </c>
      <c r="AZ71" s="20">
        <f t="shared" si="18"/>
        <v>1</v>
      </c>
      <c r="BA71" s="20">
        <f t="shared" si="19"/>
        <v>1</v>
      </c>
      <c r="BB71" s="91">
        <f t="shared" si="20"/>
        <v>3488.29</v>
      </c>
      <c r="BC71" s="87">
        <f t="shared" si="21"/>
        <v>25991.72</v>
      </c>
      <c r="BD71" s="92">
        <f t="shared" si="22"/>
        <v>3.033333333</v>
      </c>
      <c r="BE71" s="89" t="str">
        <f t="shared" si="23"/>
        <v>#VALUE!</v>
      </c>
      <c r="BF71" s="90" t="str">
        <f t="shared" si="24"/>
        <v>#VALUE!</v>
      </c>
      <c r="BH71" s="93">
        <f t="shared" si="25"/>
        <v>25991.72</v>
      </c>
      <c r="BI71" s="94">
        <f t="shared" si="26"/>
        <v>1</v>
      </c>
      <c r="BJ71" s="95" t="str">
        <f t="shared" si="27"/>
        <v>#VALUE!</v>
      </c>
      <c r="BK71" s="96" t="str">
        <f t="shared" si="28"/>
        <v>#VALUE!</v>
      </c>
      <c r="BM71" s="97">
        <f t="shared" si="29"/>
        <v>1</v>
      </c>
    </row>
    <row r="72" ht="12.75" customHeight="1">
      <c r="A72" s="65"/>
      <c r="B72" s="66" t="s">
        <v>185</v>
      </c>
      <c r="C72" s="67">
        <v>25500.0</v>
      </c>
      <c r="D72" s="68">
        <v>13.0</v>
      </c>
      <c r="E72" s="67">
        <f>1885.87+22866.75</f>
        <v>24752.62</v>
      </c>
      <c r="F72" s="68" t="s">
        <v>56</v>
      </c>
      <c r="G72" s="69">
        <v>40057.0</v>
      </c>
      <c r="H72" s="71" t="s">
        <v>57</v>
      </c>
      <c r="I72" s="69">
        <v>40247.0</v>
      </c>
      <c r="J72" s="71">
        <f t="shared" si="1"/>
        <v>6.333333333</v>
      </c>
      <c r="K72" s="72" t="s">
        <v>186</v>
      </c>
      <c r="L72" s="72">
        <v>35376.93</v>
      </c>
      <c r="M72" s="73">
        <v>286.29</v>
      </c>
      <c r="N72" s="73">
        <v>400.0</v>
      </c>
      <c r="O72" s="73">
        <v>1486.0</v>
      </c>
      <c r="P72" s="73">
        <f t="shared" si="33"/>
        <v>0</v>
      </c>
      <c r="Q72" s="73">
        <f t="shared" si="3"/>
        <v>0</v>
      </c>
      <c r="R72" s="74">
        <f t="shared" si="4"/>
        <v>0</v>
      </c>
      <c r="S72" s="74">
        <f t="shared" si="5"/>
        <v>1</v>
      </c>
      <c r="T72" s="75"/>
      <c r="V72" s="76"/>
      <c r="W72" s="77"/>
      <c r="X72" s="77"/>
      <c r="Y72" s="77"/>
      <c r="Z72" s="77"/>
      <c r="AA72" s="77"/>
      <c r="AB72" s="78">
        <f t="shared" si="6"/>
        <v>0</v>
      </c>
      <c r="AC72" s="77"/>
      <c r="AD72" s="79"/>
      <c r="AE72" s="80"/>
      <c r="AF72" s="81"/>
      <c r="AG72" s="79"/>
      <c r="AH72" s="80"/>
      <c r="AI72" s="82"/>
      <c r="AJ72" s="82">
        <f t="shared" si="7"/>
        <v>0</v>
      </c>
      <c r="AK72" s="83"/>
      <c r="AL72" s="84">
        <f t="shared" si="8"/>
        <v>0</v>
      </c>
      <c r="AP72" s="85">
        <f t="shared" si="9"/>
        <v>1</v>
      </c>
      <c r="AQ72" s="20">
        <f t="shared" si="10"/>
        <v>1</v>
      </c>
      <c r="AR72" s="20">
        <f t="shared" si="11"/>
        <v>1</v>
      </c>
      <c r="AS72" s="86">
        <f t="shared" si="12"/>
        <v>1886</v>
      </c>
      <c r="AT72" s="87">
        <f t="shared" si="13"/>
        <v>24752.62</v>
      </c>
      <c r="AU72" s="88">
        <f t="shared" si="14"/>
        <v>6.333333333</v>
      </c>
      <c r="AV72" s="89" t="str">
        <f t="shared" si="15"/>
        <v>#VALUE!</v>
      </c>
      <c r="AW72" s="90" t="str">
        <f t="shared" si="16"/>
        <v>#VALUE!</v>
      </c>
      <c r="AY72" s="85">
        <f t="shared" si="17"/>
        <v>0</v>
      </c>
      <c r="AZ72" s="20">
        <f t="shared" si="18"/>
        <v>1</v>
      </c>
      <c r="BA72" s="20">
        <f t="shared" si="19"/>
        <v>0</v>
      </c>
      <c r="BB72" s="91">
        <f t="shared" si="20"/>
        <v>0</v>
      </c>
      <c r="BC72" s="87">
        <f t="shared" si="21"/>
        <v>0</v>
      </c>
      <c r="BD72" s="92">
        <f t="shared" si="22"/>
        <v>0</v>
      </c>
      <c r="BE72" s="89" t="str">
        <f t="shared" si="23"/>
        <v>#VALUE!</v>
      </c>
      <c r="BF72" s="90">
        <f t="shared" si="24"/>
        <v>0</v>
      </c>
      <c r="BH72" s="93">
        <f t="shared" si="25"/>
        <v>24752.62</v>
      </c>
      <c r="BI72" s="94">
        <f t="shared" si="26"/>
        <v>1</v>
      </c>
      <c r="BJ72" s="95" t="str">
        <f t="shared" si="27"/>
        <v>#VALUE!</v>
      </c>
      <c r="BK72" s="96" t="str">
        <f t="shared" si="28"/>
        <v>#VALUE!</v>
      </c>
      <c r="BM72" s="97">
        <f t="shared" si="29"/>
        <v>1</v>
      </c>
    </row>
    <row r="73" ht="12.75" customHeight="1">
      <c r="A73" s="65"/>
      <c r="B73" s="66" t="s">
        <v>187</v>
      </c>
      <c r="C73" s="67">
        <v>19531.9</v>
      </c>
      <c r="D73" s="68">
        <v>13.0</v>
      </c>
      <c r="E73" s="67">
        <v>18522.6</v>
      </c>
      <c r="F73" s="68" t="s">
        <v>56</v>
      </c>
      <c r="G73" s="69">
        <v>40064.0</v>
      </c>
      <c r="H73" s="71" t="s">
        <v>57</v>
      </c>
      <c r="I73" s="69">
        <v>40057.0</v>
      </c>
      <c r="J73" s="71">
        <f t="shared" si="1"/>
        <v>-0.2333333333</v>
      </c>
      <c r="K73" s="72" t="s">
        <v>188</v>
      </c>
      <c r="L73" s="72">
        <v>21520.6</v>
      </c>
      <c r="M73" s="73">
        <v>124.71</v>
      </c>
      <c r="N73" s="73">
        <v>5785.37</v>
      </c>
      <c r="O73" s="73">
        <v>224.83</v>
      </c>
      <c r="P73" s="73">
        <v>0.0</v>
      </c>
      <c r="Q73" s="73">
        <f t="shared" si="3"/>
        <v>3136.91</v>
      </c>
      <c r="R73" s="74">
        <f t="shared" si="4"/>
        <v>0.169355814</v>
      </c>
      <c r="S73" s="74">
        <f t="shared" si="5"/>
        <v>0.830644186</v>
      </c>
      <c r="T73" s="75"/>
      <c r="V73" s="76"/>
      <c r="W73" s="77"/>
      <c r="X73" s="77"/>
      <c r="Y73" s="77"/>
      <c r="Z73" s="77"/>
      <c r="AA73" s="77"/>
      <c r="AB73" s="78">
        <f t="shared" si="6"/>
        <v>0</v>
      </c>
      <c r="AC73" s="77"/>
      <c r="AD73" s="79"/>
      <c r="AE73" s="80"/>
      <c r="AF73" s="81"/>
      <c r="AG73" s="79"/>
      <c r="AH73" s="80"/>
      <c r="AI73" s="82"/>
      <c r="AJ73" s="82">
        <f t="shared" si="7"/>
        <v>0</v>
      </c>
      <c r="AK73" s="83"/>
      <c r="AL73" s="84">
        <f t="shared" si="8"/>
        <v>0</v>
      </c>
      <c r="AP73" s="85">
        <f t="shared" si="9"/>
        <v>1</v>
      </c>
      <c r="AQ73" s="20">
        <f t="shared" si="10"/>
        <v>1</v>
      </c>
      <c r="AR73" s="20">
        <f t="shared" si="11"/>
        <v>1</v>
      </c>
      <c r="AS73" s="86">
        <f t="shared" si="12"/>
        <v>6010.2</v>
      </c>
      <c r="AT73" s="87">
        <f t="shared" si="13"/>
        <v>18522.6</v>
      </c>
      <c r="AU73" s="88">
        <f t="shared" si="14"/>
        <v>-0.2333333333</v>
      </c>
      <c r="AV73" s="89" t="str">
        <f t="shared" si="15"/>
        <v>#VALUE!</v>
      </c>
      <c r="AW73" s="90" t="str">
        <f t="shared" si="16"/>
        <v>#VALUE!</v>
      </c>
      <c r="AY73" s="85">
        <f t="shared" si="17"/>
        <v>0</v>
      </c>
      <c r="AZ73" s="20">
        <f t="shared" si="18"/>
        <v>1</v>
      </c>
      <c r="BA73" s="20">
        <f t="shared" si="19"/>
        <v>0</v>
      </c>
      <c r="BB73" s="91">
        <f t="shared" si="20"/>
        <v>0</v>
      </c>
      <c r="BC73" s="87">
        <f t="shared" si="21"/>
        <v>0</v>
      </c>
      <c r="BD73" s="92">
        <f t="shared" si="22"/>
        <v>0</v>
      </c>
      <c r="BE73" s="89" t="str">
        <f t="shared" si="23"/>
        <v>#VALUE!</v>
      </c>
      <c r="BF73" s="90">
        <f t="shared" si="24"/>
        <v>0</v>
      </c>
      <c r="BH73" s="93">
        <f t="shared" si="25"/>
        <v>18522.6</v>
      </c>
      <c r="BI73" s="94">
        <f t="shared" si="26"/>
        <v>1</v>
      </c>
      <c r="BJ73" s="95" t="str">
        <f t="shared" si="27"/>
        <v>#VALUE!</v>
      </c>
      <c r="BK73" s="96" t="str">
        <f t="shared" si="28"/>
        <v>#VALUE!</v>
      </c>
      <c r="BM73" s="97">
        <f t="shared" si="29"/>
        <v>1</v>
      </c>
    </row>
    <row r="74" ht="12.75" customHeight="1">
      <c r="A74" s="65"/>
      <c r="B74" s="66" t="s">
        <v>189</v>
      </c>
      <c r="C74" s="67">
        <v>18995.25</v>
      </c>
      <c r="D74" s="68">
        <v>13.0</v>
      </c>
      <c r="E74" s="67">
        <v>15475.79</v>
      </c>
      <c r="F74" s="68" t="s">
        <v>56</v>
      </c>
      <c r="G74" s="69">
        <v>40086.0</v>
      </c>
      <c r="H74" s="71" t="s">
        <v>57</v>
      </c>
      <c r="I74" s="69">
        <v>40147.0</v>
      </c>
      <c r="J74" s="71">
        <f t="shared" si="1"/>
        <v>2.033333333</v>
      </c>
      <c r="K74" s="72" t="s">
        <v>181</v>
      </c>
      <c r="L74" s="72">
        <v>20480.79</v>
      </c>
      <c r="M74" s="73">
        <v>347.56</v>
      </c>
      <c r="N74" s="73">
        <v>1175.0</v>
      </c>
      <c r="O74" s="73">
        <v>581.21</v>
      </c>
      <c r="P74" s="73">
        <v>0.0</v>
      </c>
      <c r="Q74" s="73">
        <f t="shared" si="3"/>
        <v>0</v>
      </c>
      <c r="R74" s="74">
        <f t="shared" si="4"/>
        <v>0</v>
      </c>
      <c r="S74" s="74">
        <f t="shared" si="5"/>
        <v>1</v>
      </c>
      <c r="T74" s="75"/>
      <c r="V74" s="76"/>
      <c r="W74" s="77"/>
      <c r="X74" s="77"/>
      <c r="Y74" s="77"/>
      <c r="Z74" s="77"/>
      <c r="AA74" s="77"/>
      <c r="AB74" s="78">
        <f t="shared" si="6"/>
        <v>0</v>
      </c>
      <c r="AC74" s="77"/>
      <c r="AD74" s="79"/>
      <c r="AE74" s="80"/>
      <c r="AF74" s="81"/>
      <c r="AG74" s="79"/>
      <c r="AH74" s="80"/>
      <c r="AI74" s="82"/>
      <c r="AJ74" s="82">
        <f t="shared" si="7"/>
        <v>0</v>
      </c>
      <c r="AK74" s="83"/>
      <c r="AL74" s="84">
        <f t="shared" si="8"/>
        <v>0</v>
      </c>
      <c r="AP74" s="85">
        <f t="shared" si="9"/>
        <v>1</v>
      </c>
      <c r="AQ74" s="20">
        <f t="shared" si="10"/>
        <v>1</v>
      </c>
      <c r="AR74" s="20">
        <f t="shared" si="11"/>
        <v>1</v>
      </c>
      <c r="AS74" s="86">
        <f t="shared" si="12"/>
        <v>1756.21</v>
      </c>
      <c r="AT74" s="87">
        <f t="shared" si="13"/>
        <v>15475.79</v>
      </c>
      <c r="AU74" s="88">
        <f t="shared" si="14"/>
        <v>2.033333333</v>
      </c>
      <c r="AV74" s="89" t="str">
        <f t="shared" si="15"/>
        <v>#VALUE!</v>
      </c>
      <c r="AW74" s="90" t="str">
        <f t="shared" si="16"/>
        <v>#VALUE!</v>
      </c>
      <c r="AY74" s="85">
        <f t="shared" si="17"/>
        <v>0</v>
      </c>
      <c r="AZ74" s="20">
        <f t="shared" si="18"/>
        <v>1</v>
      </c>
      <c r="BA74" s="20">
        <f t="shared" si="19"/>
        <v>0</v>
      </c>
      <c r="BB74" s="91">
        <f t="shared" si="20"/>
        <v>0</v>
      </c>
      <c r="BC74" s="87">
        <f t="shared" si="21"/>
        <v>0</v>
      </c>
      <c r="BD74" s="92">
        <f t="shared" si="22"/>
        <v>0</v>
      </c>
      <c r="BE74" s="89" t="str">
        <f t="shared" si="23"/>
        <v>#VALUE!</v>
      </c>
      <c r="BF74" s="90">
        <f t="shared" si="24"/>
        <v>0</v>
      </c>
      <c r="BH74" s="93">
        <f t="shared" si="25"/>
        <v>15475.79</v>
      </c>
      <c r="BI74" s="94">
        <f t="shared" si="26"/>
        <v>1</v>
      </c>
      <c r="BJ74" s="95" t="str">
        <f t="shared" si="27"/>
        <v>#VALUE!</v>
      </c>
      <c r="BK74" s="96" t="str">
        <f t="shared" si="28"/>
        <v>#VALUE!</v>
      </c>
      <c r="BM74" s="97">
        <f t="shared" si="29"/>
        <v>1</v>
      </c>
    </row>
    <row r="75" ht="12.75" customHeight="1">
      <c r="A75" s="65"/>
      <c r="B75" s="66" t="s">
        <v>190</v>
      </c>
      <c r="C75" s="67">
        <v>22484.12</v>
      </c>
      <c r="D75" s="68">
        <v>3.0</v>
      </c>
      <c r="E75" s="67">
        <v>21886.95</v>
      </c>
      <c r="F75" s="68" t="s">
        <v>64</v>
      </c>
      <c r="G75" s="69">
        <v>40087.0</v>
      </c>
      <c r="H75" s="71" t="s">
        <v>57</v>
      </c>
      <c r="I75" s="69">
        <v>40148.0</v>
      </c>
      <c r="J75" s="71">
        <f t="shared" si="1"/>
        <v>2.033333333</v>
      </c>
      <c r="K75" s="72" t="s">
        <v>191</v>
      </c>
      <c r="L75" s="72">
        <v>27500.0</v>
      </c>
      <c r="M75" s="73">
        <v>230.29</v>
      </c>
      <c r="N75" s="73">
        <v>1465.91</v>
      </c>
      <c r="O75" s="73">
        <v>4839.08</v>
      </c>
      <c r="P75" s="73">
        <f t="shared" ref="P75:P94" si="34">IF(L75="N/A",0,IF(L75-E75&gt;0,0,E75-L75))</f>
        <v>0</v>
      </c>
      <c r="Q75" s="73">
        <f t="shared" si="3"/>
        <v>922.23</v>
      </c>
      <c r="R75" s="74">
        <f t="shared" si="4"/>
        <v>0.04213606738</v>
      </c>
      <c r="S75" s="74">
        <f t="shared" si="5"/>
        <v>0.9578639326</v>
      </c>
      <c r="T75" s="75"/>
      <c r="V75" s="76"/>
      <c r="W75" s="77"/>
      <c r="X75" s="77"/>
      <c r="Y75" s="77"/>
      <c r="Z75" s="77"/>
      <c r="AA75" s="77"/>
      <c r="AB75" s="78">
        <f t="shared" si="6"/>
        <v>0</v>
      </c>
      <c r="AC75" s="77"/>
      <c r="AD75" s="79"/>
      <c r="AE75" s="80"/>
      <c r="AF75" s="81"/>
      <c r="AG75" s="79"/>
      <c r="AH75" s="80"/>
      <c r="AI75" s="82"/>
      <c r="AJ75" s="82">
        <f t="shared" si="7"/>
        <v>0</v>
      </c>
      <c r="AK75" s="83"/>
      <c r="AL75" s="84">
        <f t="shared" si="8"/>
        <v>0</v>
      </c>
      <c r="AP75" s="85">
        <f t="shared" si="9"/>
        <v>0</v>
      </c>
      <c r="AQ75" s="20">
        <f t="shared" si="10"/>
        <v>1</v>
      </c>
      <c r="AR75" s="20">
        <f t="shared" si="11"/>
        <v>0</v>
      </c>
      <c r="AS75" s="86">
        <f t="shared" si="12"/>
        <v>0</v>
      </c>
      <c r="AT75" s="87">
        <f t="shared" si="13"/>
        <v>0</v>
      </c>
      <c r="AU75" s="88">
        <f t="shared" si="14"/>
        <v>0</v>
      </c>
      <c r="AV75" s="89" t="str">
        <f t="shared" si="15"/>
        <v>#VALUE!</v>
      </c>
      <c r="AW75" s="90">
        <f t="shared" si="16"/>
        <v>0</v>
      </c>
      <c r="AY75" s="85">
        <f t="shared" si="17"/>
        <v>1</v>
      </c>
      <c r="AZ75" s="20">
        <f t="shared" si="18"/>
        <v>1</v>
      </c>
      <c r="BA75" s="20">
        <f t="shared" si="19"/>
        <v>1</v>
      </c>
      <c r="BB75" s="91">
        <f t="shared" si="20"/>
        <v>6304.99</v>
      </c>
      <c r="BC75" s="87">
        <f t="shared" si="21"/>
        <v>21886.95</v>
      </c>
      <c r="BD75" s="92">
        <f t="shared" si="22"/>
        <v>2.033333333</v>
      </c>
      <c r="BE75" s="89" t="str">
        <f t="shared" si="23"/>
        <v>#VALUE!</v>
      </c>
      <c r="BF75" s="90" t="str">
        <f t="shared" si="24"/>
        <v>#VALUE!</v>
      </c>
      <c r="BH75" s="93">
        <f t="shared" si="25"/>
        <v>21886.95</v>
      </c>
      <c r="BI75" s="94">
        <f t="shared" si="26"/>
        <v>1</v>
      </c>
      <c r="BJ75" s="95" t="str">
        <f t="shared" si="27"/>
        <v>#VALUE!</v>
      </c>
      <c r="BK75" s="96" t="str">
        <f t="shared" si="28"/>
        <v>#VALUE!</v>
      </c>
      <c r="BM75" s="97">
        <f t="shared" si="29"/>
        <v>1</v>
      </c>
    </row>
    <row r="76" ht="12.75" customHeight="1">
      <c r="A76" s="65"/>
      <c r="B76" s="66" t="s">
        <v>192</v>
      </c>
      <c r="C76" s="67">
        <v>30000.0</v>
      </c>
      <c r="D76" s="68">
        <v>13.0</v>
      </c>
      <c r="E76" s="67">
        <v>26928.31</v>
      </c>
      <c r="F76" s="68" t="s">
        <v>64</v>
      </c>
      <c r="G76" s="69">
        <v>40087.0</v>
      </c>
      <c r="H76" s="71" t="s">
        <v>57</v>
      </c>
      <c r="I76" s="69">
        <v>40326.0</v>
      </c>
      <c r="J76" s="71">
        <f t="shared" si="1"/>
        <v>7.966666667</v>
      </c>
      <c r="K76" s="72" t="s">
        <v>193</v>
      </c>
      <c r="L76" s="72">
        <v>30000.0</v>
      </c>
      <c r="M76" s="73">
        <v>79.47</v>
      </c>
      <c r="N76" s="73">
        <v>1940.0</v>
      </c>
      <c r="O76" s="73">
        <v>61.0</v>
      </c>
      <c r="P76" s="73">
        <f t="shared" si="34"/>
        <v>0</v>
      </c>
      <c r="Q76" s="73">
        <f t="shared" si="3"/>
        <v>0</v>
      </c>
      <c r="R76" s="74">
        <f t="shared" si="4"/>
        <v>0</v>
      </c>
      <c r="S76" s="74">
        <f t="shared" si="5"/>
        <v>1</v>
      </c>
      <c r="T76" s="75"/>
      <c r="V76" s="76"/>
      <c r="W76" s="77"/>
      <c r="X76" s="77"/>
      <c r="Y76" s="77"/>
      <c r="Z76" s="77"/>
      <c r="AA76" s="77"/>
      <c r="AB76" s="78">
        <f t="shared" si="6"/>
        <v>0</v>
      </c>
      <c r="AC76" s="77"/>
      <c r="AD76" s="79"/>
      <c r="AE76" s="80"/>
      <c r="AF76" s="81"/>
      <c r="AG76" s="79"/>
      <c r="AH76" s="80"/>
      <c r="AI76" s="82"/>
      <c r="AJ76" s="82">
        <f t="shared" si="7"/>
        <v>0</v>
      </c>
      <c r="AK76" s="83"/>
      <c r="AL76" s="84">
        <f t="shared" si="8"/>
        <v>0</v>
      </c>
      <c r="AP76" s="85">
        <f t="shared" si="9"/>
        <v>0</v>
      </c>
      <c r="AQ76" s="20">
        <f t="shared" si="10"/>
        <v>1</v>
      </c>
      <c r="AR76" s="20">
        <f t="shared" si="11"/>
        <v>0</v>
      </c>
      <c r="AS76" s="86">
        <f t="shared" si="12"/>
        <v>0</v>
      </c>
      <c r="AT76" s="87">
        <f t="shared" si="13"/>
        <v>0</v>
      </c>
      <c r="AU76" s="88">
        <f t="shared" si="14"/>
        <v>0</v>
      </c>
      <c r="AV76" s="89" t="str">
        <f t="shared" si="15"/>
        <v>#VALUE!</v>
      </c>
      <c r="AW76" s="90">
        <f t="shared" si="16"/>
        <v>0</v>
      </c>
      <c r="AY76" s="85">
        <f t="shared" si="17"/>
        <v>1</v>
      </c>
      <c r="AZ76" s="20">
        <f t="shared" si="18"/>
        <v>1</v>
      </c>
      <c r="BA76" s="20">
        <f t="shared" si="19"/>
        <v>1</v>
      </c>
      <c r="BB76" s="91">
        <f t="shared" si="20"/>
        <v>2001</v>
      </c>
      <c r="BC76" s="87">
        <f t="shared" si="21"/>
        <v>26928.31</v>
      </c>
      <c r="BD76" s="92">
        <f t="shared" si="22"/>
        <v>7.966666667</v>
      </c>
      <c r="BE76" s="89" t="str">
        <f t="shared" si="23"/>
        <v>#VALUE!</v>
      </c>
      <c r="BF76" s="90" t="str">
        <f t="shared" si="24"/>
        <v>#VALUE!</v>
      </c>
      <c r="BH76" s="93">
        <f t="shared" si="25"/>
        <v>26928.31</v>
      </c>
      <c r="BI76" s="94">
        <f t="shared" si="26"/>
        <v>1</v>
      </c>
      <c r="BJ76" s="95" t="str">
        <f t="shared" si="27"/>
        <v>#VALUE!</v>
      </c>
      <c r="BK76" s="96" t="str">
        <f t="shared" si="28"/>
        <v>#VALUE!</v>
      </c>
      <c r="BM76" s="97">
        <f t="shared" si="29"/>
        <v>1</v>
      </c>
    </row>
    <row r="77" ht="12.75" customHeight="1">
      <c r="A77" s="65"/>
      <c r="B77" s="66" t="s">
        <v>194</v>
      </c>
      <c r="C77" s="67">
        <v>43950.0</v>
      </c>
      <c r="D77" s="68">
        <v>13.0</v>
      </c>
      <c r="E77" s="67">
        <v>42609.69</v>
      </c>
      <c r="F77" s="68" t="s">
        <v>64</v>
      </c>
      <c r="G77" s="69">
        <v>40087.0</v>
      </c>
      <c r="H77" s="71" t="s">
        <v>57</v>
      </c>
      <c r="I77" s="69">
        <v>40339.0</v>
      </c>
      <c r="J77" s="71">
        <f t="shared" si="1"/>
        <v>8.4</v>
      </c>
      <c r="K77" s="72" t="s">
        <v>195</v>
      </c>
      <c r="L77" s="72">
        <v>44926.5</v>
      </c>
      <c r="M77" s="73">
        <v>123.45</v>
      </c>
      <c r="N77" s="73">
        <v>2839.23</v>
      </c>
      <c r="O77" s="73">
        <v>0.0</v>
      </c>
      <c r="P77" s="73">
        <f t="shared" si="34"/>
        <v>0</v>
      </c>
      <c r="Q77" s="73">
        <f t="shared" si="3"/>
        <v>645.87</v>
      </c>
      <c r="R77" s="74">
        <f t="shared" si="4"/>
        <v>0.01515781974</v>
      </c>
      <c r="S77" s="74">
        <f t="shared" si="5"/>
        <v>0.9848421803</v>
      </c>
      <c r="T77" s="75"/>
      <c r="V77" s="76"/>
      <c r="W77" s="77"/>
      <c r="X77" s="77"/>
      <c r="Y77" s="77"/>
      <c r="Z77" s="77"/>
      <c r="AA77" s="77"/>
      <c r="AB77" s="78">
        <f t="shared" si="6"/>
        <v>0</v>
      </c>
      <c r="AC77" s="77"/>
      <c r="AD77" s="79"/>
      <c r="AE77" s="80"/>
      <c r="AF77" s="81"/>
      <c r="AG77" s="79"/>
      <c r="AH77" s="80"/>
      <c r="AI77" s="82"/>
      <c r="AJ77" s="82">
        <f t="shared" si="7"/>
        <v>0</v>
      </c>
      <c r="AK77" s="83"/>
      <c r="AL77" s="84">
        <f t="shared" si="8"/>
        <v>0</v>
      </c>
      <c r="AP77" s="85">
        <f t="shared" si="9"/>
        <v>0</v>
      </c>
      <c r="AQ77" s="20">
        <f t="shared" si="10"/>
        <v>1</v>
      </c>
      <c r="AR77" s="20">
        <f t="shared" si="11"/>
        <v>0</v>
      </c>
      <c r="AS77" s="86">
        <f t="shared" si="12"/>
        <v>0</v>
      </c>
      <c r="AT77" s="87">
        <f t="shared" si="13"/>
        <v>0</v>
      </c>
      <c r="AU77" s="88">
        <f t="shared" si="14"/>
        <v>0</v>
      </c>
      <c r="AV77" s="89" t="str">
        <f t="shared" si="15"/>
        <v>#VALUE!</v>
      </c>
      <c r="AW77" s="90">
        <f t="shared" si="16"/>
        <v>0</v>
      </c>
      <c r="AY77" s="85">
        <f t="shared" si="17"/>
        <v>1</v>
      </c>
      <c r="AZ77" s="20">
        <f t="shared" si="18"/>
        <v>1</v>
      </c>
      <c r="BA77" s="20">
        <f t="shared" si="19"/>
        <v>1</v>
      </c>
      <c r="BB77" s="91">
        <f t="shared" si="20"/>
        <v>2839.23</v>
      </c>
      <c r="BC77" s="87">
        <f t="shared" si="21"/>
        <v>42609.69</v>
      </c>
      <c r="BD77" s="92">
        <f t="shared" si="22"/>
        <v>8.4</v>
      </c>
      <c r="BE77" s="89" t="str">
        <f t="shared" si="23"/>
        <v>#VALUE!</v>
      </c>
      <c r="BF77" s="90" t="str">
        <f t="shared" si="24"/>
        <v>#VALUE!</v>
      </c>
      <c r="BH77" s="93">
        <f t="shared" si="25"/>
        <v>42609.69</v>
      </c>
      <c r="BI77" s="94">
        <f t="shared" si="26"/>
        <v>1</v>
      </c>
      <c r="BJ77" s="95" t="str">
        <f t="shared" si="27"/>
        <v>#VALUE!</v>
      </c>
      <c r="BK77" s="96" t="str">
        <f t="shared" si="28"/>
        <v>#VALUE!</v>
      </c>
      <c r="BM77" s="97">
        <f t="shared" si="29"/>
        <v>1</v>
      </c>
    </row>
    <row r="78" ht="12.75" customHeight="1">
      <c r="A78" s="65"/>
      <c r="B78" s="66" t="s">
        <v>196</v>
      </c>
      <c r="C78" s="67">
        <v>32323.23</v>
      </c>
      <c r="D78" s="68">
        <v>4.0</v>
      </c>
      <c r="E78" s="67">
        <v>30965.46</v>
      </c>
      <c r="F78" s="68" t="s">
        <v>56</v>
      </c>
      <c r="G78" s="69">
        <v>40087.0</v>
      </c>
      <c r="H78" s="71" t="s">
        <v>57</v>
      </c>
      <c r="I78" s="69">
        <v>40461.0</v>
      </c>
      <c r="J78" s="71">
        <f t="shared" si="1"/>
        <v>12.46666667</v>
      </c>
      <c r="K78" s="72" t="s">
        <v>181</v>
      </c>
      <c r="L78" s="72">
        <v>32682.31</v>
      </c>
      <c r="M78" s="73">
        <v>47.49</v>
      </c>
      <c r="N78" s="73">
        <v>5622.65</v>
      </c>
      <c r="O78" s="73">
        <v>110.0</v>
      </c>
      <c r="P78" s="73">
        <f t="shared" si="34"/>
        <v>0</v>
      </c>
      <c r="Q78" s="73">
        <f t="shared" si="3"/>
        <v>4063.29</v>
      </c>
      <c r="R78" s="74">
        <f t="shared" si="4"/>
        <v>0.1312200755</v>
      </c>
      <c r="S78" s="74">
        <f t="shared" si="5"/>
        <v>0.8687799245</v>
      </c>
      <c r="T78" s="75"/>
      <c r="V78" s="76"/>
      <c r="W78" s="77"/>
      <c r="X78" s="77"/>
      <c r="Y78" s="77"/>
      <c r="Z78" s="77"/>
      <c r="AA78" s="77"/>
      <c r="AB78" s="78">
        <f t="shared" si="6"/>
        <v>0</v>
      </c>
      <c r="AC78" s="77"/>
      <c r="AD78" s="79"/>
      <c r="AE78" s="80"/>
      <c r="AF78" s="81"/>
      <c r="AG78" s="79"/>
      <c r="AH78" s="80"/>
      <c r="AI78" s="82"/>
      <c r="AJ78" s="82">
        <f t="shared" si="7"/>
        <v>0</v>
      </c>
      <c r="AK78" s="83"/>
      <c r="AL78" s="84">
        <f t="shared" si="8"/>
        <v>0</v>
      </c>
      <c r="AP78" s="85">
        <f t="shared" si="9"/>
        <v>1</v>
      </c>
      <c r="AQ78" s="20">
        <f t="shared" si="10"/>
        <v>1</v>
      </c>
      <c r="AR78" s="20">
        <f t="shared" si="11"/>
        <v>1</v>
      </c>
      <c r="AS78" s="86">
        <f t="shared" si="12"/>
        <v>5732.65</v>
      </c>
      <c r="AT78" s="87">
        <f t="shared" si="13"/>
        <v>30965.46</v>
      </c>
      <c r="AU78" s="88">
        <f t="shared" si="14"/>
        <v>12.46666667</v>
      </c>
      <c r="AV78" s="89" t="str">
        <f t="shared" si="15"/>
        <v>#VALUE!</v>
      </c>
      <c r="AW78" s="90" t="str">
        <f t="shared" si="16"/>
        <v>#VALUE!</v>
      </c>
      <c r="AY78" s="85">
        <f t="shared" si="17"/>
        <v>0</v>
      </c>
      <c r="AZ78" s="20">
        <f t="shared" si="18"/>
        <v>1</v>
      </c>
      <c r="BA78" s="20">
        <f t="shared" si="19"/>
        <v>0</v>
      </c>
      <c r="BB78" s="91">
        <f t="shared" si="20"/>
        <v>0</v>
      </c>
      <c r="BC78" s="87">
        <f t="shared" si="21"/>
        <v>0</v>
      </c>
      <c r="BD78" s="92">
        <f t="shared" si="22"/>
        <v>0</v>
      </c>
      <c r="BE78" s="89" t="str">
        <f t="shared" si="23"/>
        <v>#VALUE!</v>
      </c>
      <c r="BF78" s="90">
        <f t="shared" si="24"/>
        <v>0</v>
      </c>
      <c r="BH78" s="93">
        <f t="shared" si="25"/>
        <v>30965.46</v>
      </c>
      <c r="BI78" s="94">
        <f t="shared" si="26"/>
        <v>1</v>
      </c>
      <c r="BJ78" s="95" t="str">
        <f t="shared" si="27"/>
        <v>#VALUE!</v>
      </c>
      <c r="BK78" s="96" t="str">
        <f t="shared" si="28"/>
        <v>#VALUE!</v>
      </c>
      <c r="BM78" s="97">
        <f t="shared" si="29"/>
        <v>1</v>
      </c>
    </row>
    <row r="79" ht="12.75" customHeight="1">
      <c r="A79" s="65"/>
      <c r="B79" s="66" t="s">
        <v>197</v>
      </c>
      <c r="C79" s="67">
        <v>28761.05</v>
      </c>
      <c r="D79" s="68">
        <v>13.0</v>
      </c>
      <c r="E79" s="67">
        <f>14931.86+13512.51</f>
        <v>28444.37</v>
      </c>
      <c r="F79" s="68" t="s">
        <v>64</v>
      </c>
      <c r="G79" s="69">
        <v>40117.0</v>
      </c>
      <c r="H79" s="71" t="s">
        <v>57</v>
      </c>
      <c r="I79" s="69">
        <v>40327.0</v>
      </c>
      <c r="J79" s="71">
        <f t="shared" si="1"/>
        <v>7</v>
      </c>
      <c r="K79" s="72" t="s">
        <v>198</v>
      </c>
      <c r="L79" s="72">
        <v>31500.0</v>
      </c>
      <c r="M79" s="73">
        <v>737.88</v>
      </c>
      <c r="N79" s="73">
        <v>1995.07</v>
      </c>
      <c r="O79" s="73">
        <v>242.0</v>
      </c>
      <c r="P79" s="73">
        <f t="shared" si="34"/>
        <v>0</v>
      </c>
      <c r="Q79" s="73">
        <f t="shared" si="3"/>
        <v>0</v>
      </c>
      <c r="R79" s="74">
        <f t="shared" si="4"/>
        <v>0</v>
      </c>
      <c r="S79" s="74">
        <f t="shared" si="5"/>
        <v>1</v>
      </c>
      <c r="T79" s="75"/>
      <c r="V79" s="76"/>
      <c r="W79" s="77"/>
      <c r="X79" s="77"/>
      <c r="Y79" s="77"/>
      <c r="Z79" s="77"/>
      <c r="AA79" s="77"/>
      <c r="AB79" s="78">
        <f t="shared" si="6"/>
        <v>0</v>
      </c>
      <c r="AC79" s="77"/>
      <c r="AD79" s="79"/>
      <c r="AE79" s="80"/>
      <c r="AF79" s="81"/>
      <c r="AG79" s="79"/>
      <c r="AH79" s="80"/>
      <c r="AI79" s="82"/>
      <c r="AJ79" s="82">
        <f t="shared" si="7"/>
        <v>0</v>
      </c>
      <c r="AK79" s="83"/>
      <c r="AL79" s="84">
        <f t="shared" si="8"/>
        <v>0</v>
      </c>
      <c r="AP79" s="85">
        <f t="shared" si="9"/>
        <v>0</v>
      </c>
      <c r="AQ79" s="20">
        <f t="shared" si="10"/>
        <v>1</v>
      </c>
      <c r="AR79" s="20">
        <f t="shared" si="11"/>
        <v>0</v>
      </c>
      <c r="AS79" s="86">
        <f t="shared" si="12"/>
        <v>0</v>
      </c>
      <c r="AT79" s="87">
        <f t="shared" si="13"/>
        <v>0</v>
      </c>
      <c r="AU79" s="88">
        <f t="shared" si="14"/>
        <v>0</v>
      </c>
      <c r="AV79" s="89" t="str">
        <f t="shared" si="15"/>
        <v>#VALUE!</v>
      </c>
      <c r="AW79" s="90">
        <f t="shared" si="16"/>
        <v>0</v>
      </c>
      <c r="AY79" s="85">
        <f t="shared" si="17"/>
        <v>1</v>
      </c>
      <c r="AZ79" s="20">
        <f t="shared" si="18"/>
        <v>1</v>
      </c>
      <c r="BA79" s="20">
        <f t="shared" si="19"/>
        <v>1</v>
      </c>
      <c r="BB79" s="91">
        <f t="shared" si="20"/>
        <v>2237.07</v>
      </c>
      <c r="BC79" s="87">
        <f t="shared" si="21"/>
        <v>28444.37</v>
      </c>
      <c r="BD79" s="92">
        <f t="shared" si="22"/>
        <v>7</v>
      </c>
      <c r="BE79" s="89" t="str">
        <f t="shared" si="23"/>
        <v>#VALUE!</v>
      </c>
      <c r="BF79" s="90" t="str">
        <f t="shared" si="24"/>
        <v>#VALUE!</v>
      </c>
      <c r="BH79" s="93">
        <f t="shared" si="25"/>
        <v>28444.37</v>
      </c>
      <c r="BI79" s="94">
        <f t="shared" si="26"/>
        <v>1</v>
      </c>
      <c r="BJ79" s="95" t="str">
        <f t="shared" si="27"/>
        <v>#VALUE!</v>
      </c>
      <c r="BK79" s="96" t="str">
        <f t="shared" si="28"/>
        <v>#VALUE!</v>
      </c>
      <c r="BM79" s="97">
        <f t="shared" si="29"/>
        <v>1</v>
      </c>
    </row>
    <row r="80" ht="12.75" customHeight="1">
      <c r="A80" s="65"/>
      <c r="B80" s="66" t="s">
        <v>199</v>
      </c>
      <c r="C80" s="67">
        <v>22173.98</v>
      </c>
      <c r="D80" s="68">
        <v>6.0</v>
      </c>
      <c r="E80" s="67">
        <v>21710.86</v>
      </c>
      <c r="F80" s="68" t="s">
        <v>64</v>
      </c>
      <c r="G80" s="69">
        <v>40117.0</v>
      </c>
      <c r="H80" s="71" t="s">
        <v>57</v>
      </c>
      <c r="I80" s="69">
        <v>40443.0</v>
      </c>
      <c r="J80" s="71">
        <f t="shared" si="1"/>
        <v>10.86666667</v>
      </c>
      <c r="K80" s="72" t="s">
        <v>181</v>
      </c>
      <c r="L80" s="72">
        <v>23656.79</v>
      </c>
      <c r="M80" s="73">
        <v>272.75</v>
      </c>
      <c r="N80" s="73">
        <v>2035.16</v>
      </c>
      <c r="O80" s="73">
        <v>110.0</v>
      </c>
      <c r="P80" s="73">
        <f t="shared" si="34"/>
        <v>0</v>
      </c>
      <c r="Q80" s="73">
        <f t="shared" si="3"/>
        <v>471.98</v>
      </c>
      <c r="R80" s="74">
        <f t="shared" si="4"/>
        <v>0.02173935072</v>
      </c>
      <c r="S80" s="74">
        <f t="shared" si="5"/>
        <v>0.9782606493</v>
      </c>
      <c r="T80" s="75"/>
      <c r="V80" s="76"/>
      <c r="W80" s="77"/>
      <c r="X80" s="77"/>
      <c r="Y80" s="77"/>
      <c r="Z80" s="77"/>
      <c r="AA80" s="77"/>
      <c r="AB80" s="78">
        <f t="shared" si="6"/>
        <v>0</v>
      </c>
      <c r="AC80" s="77"/>
      <c r="AD80" s="79"/>
      <c r="AE80" s="80"/>
      <c r="AF80" s="81"/>
      <c r="AG80" s="79"/>
      <c r="AH80" s="80"/>
      <c r="AI80" s="82"/>
      <c r="AJ80" s="82">
        <f t="shared" si="7"/>
        <v>0</v>
      </c>
      <c r="AK80" s="83"/>
      <c r="AL80" s="84">
        <f t="shared" si="8"/>
        <v>0</v>
      </c>
      <c r="AP80" s="85">
        <f t="shared" si="9"/>
        <v>0</v>
      </c>
      <c r="AQ80" s="20">
        <f t="shared" si="10"/>
        <v>1</v>
      </c>
      <c r="AR80" s="20">
        <f t="shared" si="11"/>
        <v>0</v>
      </c>
      <c r="AS80" s="86">
        <f t="shared" si="12"/>
        <v>0</v>
      </c>
      <c r="AT80" s="87">
        <f t="shared" si="13"/>
        <v>0</v>
      </c>
      <c r="AU80" s="88">
        <f t="shared" si="14"/>
        <v>0</v>
      </c>
      <c r="AV80" s="89" t="str">
        <f t="shared" si="15"/>
        <v>#VALUE!</v>
      </c>
      <c r="AW80" s="90">
        <f t="shared" si="16"/>
        <v>0</v>
      </c>
      <c r="AY80" s="85">
        <f t="shared" si="17"/>
        <v>1</v>
      </c>
      <c r="AZ80" s="20">
        <f t="shared" si="18"/>
        <v>1</v>
      </c>
      <c r="BA80" s="20">
        <f t="shared" si="19"/>
        <v>1</v>
      </c>
      <c r="BB80" s="91">
        <f t="shared" si="20"/>
        <v>2145.16</v>
      </c>
      <c r="BC80" s="87">
        <f t="shared" si="21"/>
        <v>21710.86</v>
      </c>
      <c r="BD80" s="92">
        <f t="shared" si="22"/>
        <v>10.86666667</v>
      </c>
      <c r="BE80" s="89" t="str">
        <f t="shared" si="23"/>
        <v>#VALUE!</v>
      </c>
      <c r="BF80" s="90" t="str">
        <f t="shared" si="24"/>
        <v>#VALUE!</v>
      </c>
      <c r="BH80" s="93">
        <f t="shared" si="25"/>
        <v>21710.86</v>
      </c>
      <c r="BI80" s="94">
        <f t="shared" si="26"/>
        <v>1</v>
      </c>
      <c r="BJ80" s="95" t="str">
        <f t="shared" si="27"/>
        <v>#VALUE!</v>
      </c>
      <c r="BK80" s="96" t="str">
        <f t="shared" si="28"/>
        <v>#VALUE!</v>
      </c>
      <c r="BM80" s="97">
        <f t="shared" si="29"/>
        <v>1</v>
      </c>
    </row>
    <row r="81" ht="12.75" customHeight="1">
      <c r="A81" s="65"/>
      <c r="B81" s="66" t="s">
        <v>200</v>
      </c>
      <c r="C81" s="67">
        <v>28440.0</v>
      </c>
      <c r="D81" s="68">
        <v>13.0</v>
      </c>
      <c r="E81" s="67">
        <f>10389.97+17343.79</f>
        <v>27733.76</v>
      </c>
      <c r="F81" s="68" t="s">
        <v>64</v>
      </c>
      <c r="G81" s="69">
        <v>40179.0</v>
      </c>
      <c r="H81" s="71" t="s">
        <v>57</v>
      </c>
      <c r="I81" s="69">
        <v>40308.0</v>
      </c>
      <c r="J81" s="71">
        <f t="shared" si="1"/>
        <v>4.3</v>
      </c>
      <c r="K81" s="72" t="s">
        <v>201</v>
      </c>
      <c r="L81" s="72">
        <v>31000.0</v>
      </c>
      <c r="M81" s="73">
        <v>108.34</v>
      </c>
      <c r="N81" s="73">
        <v>6687.52</v>
      </c>
      <c r="O81" s="73">
        <v>1400.98</v>
      </c>
      <c r="P81" s="73">
        <f t="shared" si="34"/>
        <v>0</v>
      </c>
      <c r="Q81" s="73">
        <v>2212.04</v>
      </c>
      <c r="R81" s="74">
        <f t="shared" si="4"/>
        <v>0.07975983062</v>
      </c>
      <c r="S81" s="74">
        <f t="shared" si="5"/>
        <v>0.9202401694</v>
      </c>
      <c r="T81" s="75"/>
      <c r="V81" s="76"/>
      <c r="W81" s="77"/>
      <c r="X81" s="77"/>
      <c r="Y81" s="77"/>
      <c r="Z81" s="77"/>
      <c r="AA81" s="77"/>
      <c r="AB81" s="78">
        <f t="shared" si="6"/>
        <v>0</v>
      </c>
      <c r="AC81" s="77"/>
      <c r="AD81" s="79"/>
      <c r="AE81" s="80"/>
      <c r="AF81" s="81"/>
      <c r="AG81" s="79"/>
      <c r="AH81" s="80"/>
      <c r="AI81" s="82"/>
      <c r="AJ81" s="82">
        <f t="shared" si="7"/>
        <v>0</v>
      </c>
      <c r="AK81" s="83"/>
      <c r="AL81" s="84">
        <f t="shared" si="8"/>
        <v>0</v>
      </c>
      <c r="AP81" s="85">
        <f t="shared" si="9"/>
        <v>0</v>
      </c>
      <c r="AQ81" s="20">
        <f t="shared" si="10"/>
        <v>1</v>
      </c>
      <c r="AR81" s="20">
        <f t="shared" si="11"/>
        <v>0</v>
      </c>
      <c r="AS81" s="86">
        <f t="shared" si="12"/>
        <v>0</v>
      </c>
      <c r="AT81" s="87">
        <f t="shared" si="13"/>
        <v>0</v>
      </c>
      <c r="AU81" s="88">
        <f t="shared" si="14"/>
        <v>0</v>
      </c>
      <c r="AV81" s="89" t="str">
        <f t="shared" si="15"/>
        <v>#VALUE!</v>
      </c>
      <c r="AW81" s="90">
        <f t="shared" si="16"/>
        <v>0</v>
      </c>
      <c r="AY81" s="85">
        <f t="shared" si="17"/>
        <v>1</v>
      </c>
      <c r="AZ81" s="20">
        <f t="shared" si="18"/>
        <v>1</v>
      </c>
      <c r="BA81" s="20">
        <f t="shared" si="19"/>
        <v>1</v>
      </c>
      <c r="BB81" s="91">
        <f t="shared" si="20"/>
        <v>8088.5</v>
      </c>
      <c r="BC81" s="87">
        <f t="shared" si="21"/>
        <v>27733.76</v>
      </c>
      <c r="BD81" s="92">
        <f t="shared" si="22"/>
        <v>4.3</v>
      </c>
      <c r="BE81" s="89" t="str">
        <f t="shared" si="23"/>
        <v>#VALUE!</v>
      </c>
      <c r="BF81" s="90" t="str">
        <f t="shared" si="24"/>
        <v>#VALUE!</v>
      </c>
      <c r="BH81" s="93">
        <f t="shared" si="25"/>
        <v>27733.76</v>
      </c>
      <c r="BI81" s="94">
        <f t="shared" si="26"/>
        <v>1</v>
      </c>
      <c r="BJ81" s="95" t="str">
        <f t="shared" si="27"/>
        <v>#VALUE!</v>
      </c>
      <c r="BK81" s="96" t="str">
        <f t="shared" si="28"/>
        <v>#VALUE!</v>
      </c>
      <c r="BM81" s="97">
        <f t="shared" si="29"/>
        <v>1</v>
      </c>
    </row>
    <row r="82" ht="12.75" customHeight="1">
      <c r="A82" s="65"/>
      <c r="B82" s="66" t="s">
        <v>202</v>
      </c>
      <c r="C82" s="67">
        <v>17424.0</v>
      </c>
      <c r="D82" s="68">
        <v>10.0</v>
      </c>
      <c r="E82" s="67">
        <v>16384.75</v>
      </c>
      <c r="F82" s="68" t="s">
        <v>64</v>
      </c>
      <c r="G82" s="69">
        <v>40203.0</v>
      </c>
      <c r="H82" s="71" t="s">
        <v>57</v>
      </c>
      <c r="I82" s="69">
        <v>40339.0</v>
      </c>
      <c r="J82" s="71">
        <f t="shared" si="1"/>
        <v>4.533333333</v>
      </c>
      <c r="K82" s="72" t="s">
        <v>203</v>
      </c>
      <c r="L82" s="72">
        <v>18500.0</v>
      </c>
      <c r="M82" s="73">
        <v>94.22</v>
      </c>
      <c r="N82" s="73">
        <v>1017.21</v>
      </c>
      <c r="O82" s="73">
        <v>1108.0</v>
      </c>
      <c r="P82" s="73">
        <f t="shared" si="34"/>
        <v>0</v>
      </c>
      <c r="Q82" s="73">
        <f t="shared" ref="Q82:Q187" si="35">IF(L82="N/A",0,IF(L82-E82-M82-N82-O82&gt;0,0,(L82-E82-M82-N82-O82)*-1))</f>
        <v>104.18</v>
      </c>
      <c r="R82" s="74">
        <f t="shared" si="4"/>
        <v>0.006358351516</v>
      </c>
      <c r="S82" s="74">
        <f t="shared" si="5"/>
        <v>0.9936416485</v>
      </c>
      <c r="T82" s="75"/>
      <c r="V82" s="76"/>
      <c r="W82" s="77"/>
      <c r="X82" s="77"/>
      <c r="Y82" s="77"/>
      <c r="Z82" s="77"/>
      <c r="AA82" s="77"/>
      <c r="AB82" s="78">
        <f t="shared" si="6"/>
        <v>0</v>
      </c>
      <c r="AC82" s="77"/>
      <c r="AD82" s="79"/>
      <c r="AE82" s="80"/>
      <c r="AF82" s="81"/>
      <c r="AG82" s="79"/>
      <c r="AH82" s="80"/>
      <c r="AI82" s="82"/>
      <c r="AJ82" s="82">
        <f t="shared" si="7"/>
        <v>0</v>
      </c>
      <c r="AK82" s="83"/>
      <c r="AL82" s="84">
        <f t="shared" si="8"/>
        <v>0</v>
      </c>
      <c r="AP82" s="85">
        <f t="shared" si="9"/>
        <v>0</v>
      </c>
      <c r="AQ82" s="20">
        <f t="shared" si="10"/>
        <v>1</v>
      </c>
      <c r="AR82" s="20">
        <f t="shared" si="11"/>
        <v>0</v>
      </c>
      <c r="AS82" s="86">
        <f t="shared" si="12"/>
        <v>0</v>
      </c>
      <c r="AT82" s="87">
        <f t="shared" si="13"/>
        <v>0</v>
      </c>
      <c r="AU82" s="88">
        <f t="shared" si="14"/>
        <v>0</v>
      </c>
      <c r="AV82" s="89" t="str">
        <f t="shared" si="15"/>
        <v>#VALUE!</v>
      </c>
      <c r="AW82" s="90">
        <f t="shared" si="16"/>
        <v>0</v>
      </c>
      <c r="AY82" s="85">
        <f t="shared" si="17"/>
        <v>1</v>
      </c>
      <c r="AZ82" s="20">
        <f t="shared" si="18"/>
        <v>1</v>
      </c>
      <c r="BA82" s="20">
        <f t="shared" si="19"/>
        <v>1</v>
      </c>
      <c r="BB82" s="91">
        <f t="shared" si="20"/>
        <v>2125.21</v>
      </c>
      <c r="BC82" s="87">
        <f t="shared" si="21"/>
        <v>16384.75</v>
      </c>
      <c r="BD82" s="92">
        <f t="shared" si="22"/>
        <v>4.533333333</v>
      </c>
      <c r="BE82" s="89" t="str">
        <f t="shared" si="23"/>
        <v>#VALUE!</v>
      </c>
      <c r="BF82" s="90" t="str">
        <f t="shared" si="24"/>
        <v>#VALUE!</v>
      </c>
      <c r="BH82" s="93">
        <f t="shared" si="25"/>
        <v>16384.75</v>
      </c>
      <c r="BI82" s="94">
        <f t="shared" si="26"/>
        <v>1</v>
      </c>
      <c r="BJ82" s="95" t="str">
        <f t="shared" si="27"/>
        <v>#VALUE!</v>
      </c>
      <c r="BK82" s="96" t="str">
        <f t="shared" si="28"/>
        <v>#VALUE!</v>
      </c>
      <c r="BM82" s="97">
        <f t="shared" si="29"/>
        <v>1</v>
      </c>
    </row>
    <row r="83" ht="12.75" customHeight="1">
      <c r="A83" s="65"/>
      <c r="B83" s="66" t="s">
        <v>204</v>
      </c>
      <c r="C83" s="67">
        <v>16385.88</v>
      </c>
      <c r="D83" s="68">
        <v>13.0</v>
      </c>
      <c r="E83" s="67">
        <v>15543.64</v>
      </c>
      <c r="F83" s="68" t="s">
        <v>56</v>
      </c>
      <c r="G83" s="69">
        <v>40231.0</v>
      </c>
      <c r="H83" s="71" t="s">
        <v>57</v>
      </c>
      <c r="I83" s="69">
        <v>40385.0</v>
      </c>
      <c r="J83" s="71">
        <f t="shared" si="1"/>
        <v>5.133333333</v>
      </c>
      <c r="K83" s="72" t="s">
        <v>205</v>
      </c>
      <c r="L83" s="72">
        <v>18000.0</v>
      </c>
      <c r="M83" s="73">
        <v>263.84</v>
      </c>
      <c r="N83" s="73">
        <v>3473.15</v>
      </c>
      <c r="O83" s="73">
        <v>2168.8</v>
      </c>
      <c r="P83" s="73">
        <f t="shared" si="34"/>
        <v>0</v>
      </c>
      <c r="Q83" s="73">
        <f t="shared" si="35"/>
        <v>3449.43</v>
      </c>
      <c r="R83" s="74">
        <f t="shared" si="4"/>
        <v>0.2219190614</v>
      </c>
      <c r="S83" s="74">
        <f t="shared" si="5"/>
        <v>0.7780809386</v>
      </c>
      <c r="T83" s="75"/>
      <c r="V83" s="76"/>
      <c r="W83" s="77"/>
      <c r="X83" s="77"/>
      <c r="Y83" s="77"/>
      <c r="Z83" s="77"/>
      <c r="AA83" s="77"/>
      <c r="AB83" s="78">
        <f t="shared" si="6"/>
        <v>0</v>
      </c>
      <c r="AC83" s="77"/>
      <c r="AD83" s="79"/>
      <c r="AE83" s="80"/>
      <c r="AF83" s="81"/>
      <c r="AG83" s="79"/>
      <c r="AH83" s="80"/>
      <c r="AI83" s="82"/>
      <c r="AJ83" s="82">
        <f t="shared" si="7"/>
        <v>0</v>
      </c>
      <c r="AK83" s="83"/>
      <c r="AL83" s="84">
        <f t="shared" si="8"/>
        <v>0</v>
      </c>
      <c r="AP83" s="85">
        <f t="shared" si="9"/>
        <v>1</v>
      </c>
      <c r="AQ83" s="20">
        <f t="shared" si="10"/>
        <v>1</v>
      </c>
      <c r="AR83" s="20">
        <f t="shared" si="11"/>
        <v>1</v>
      </c>
      <c r="AS83" s="86">
        <f t="shared" si="12"/>
        <v>5641.95</v>
      </c>
      <c r="AT83" s="87">
        <f t="shared" si="13"/>
        <v>15543.64</v>
      </c>
      <c r="AU83" s="88">
        <f t="shared" si="14"/>
        <v>5.133333333</v>
      </c>
      <c r="AV83" s="89" t="str">
        <f t="shared" si="15"/>
        <v>#VALUE!</v>
      </c>
      <c r="AW83" s="90" t="str">
        <f t="shared" si="16"/>
        <v>#VALUE!</v>
      </c>
      <c r="AY83" s="85">
        <f t="shared" si="17"/>
        <v>0</v>
      </c>
      <c r="AZ83" s="20">
        <f t="shared" si="18"/>
        <v>1</v>
      </c>
      <c r="BA83" s="20">
        <f t="shared" si="19"/>
        <v>0</v>
      </c>
      <c r="BB83" s="91">
        <f t="shared" si="20"/>
        <v>0</v>
      </c>
      <c r="BC83" s="87">
        <f t="shared" si="21"/>
        <v>0</v>
      </c>
      <c r="BD83" s="92">
        <f t="shared" si="22"/>
        <v>0</v>
      </c>
      <c r="BE83" s="89" t="str">
        <f t="shared" si="23"/>
        <v>#VALUE!</v>
      </c>
      <c r="BF83" s="90">
        <f t="shared" si="24"/>
        <v>0</v>
      </c>
      <c r="BH83" s="93">
        <f t="shared" si="25"/>
        <v>15543.64</v>
      </c>
      <c r="BI83" s="94">
        <f t="shared" si="26"/>
        <v>1</v>
      </c>
      <c r="BJ83" s="95" t="str">
        <f t="shared" si="27"/>
        <v>#VALUE!</v>
      </c>
      <c r="BK83" s="96" t="str">
        <f t="shared" si="28"/>
        <v>#VALUE!</v>
      </c>
      <c r="BM83" s="97">
        <f t="shared" si="29"/>
        <v>1</v>
      </c>
    </row>
    <row r="84" ht="12.75" customHeight="1">
      <c r="A84" s="65"/>
      <c r="B84" s="66" t="s">
        <v>206</v>
      </c>
      <c r="C84" s="67">
        <v>23750.0</v>
      </c>
      <c r="D84" s="68">
        <v>13.0</v>
      </c>
      <c r="E84" s="67">
        <v>19225.3</v>
      </c>
      <c r="F84" s="68" t="s">
        <v>64</v>
      </c>
      <c r="G84" s="69">
        <v>40243.0</v>
      </c>
      <c r="H84" s="71" t="s">
        <v>57</v>
      </c>
      <c r="I84" s="69">
        <v>40512.0</v>
      </c>
      <c r="J84" s="71">
        <f t="shared" si="1"/>
        <v>8.966666667</v>
      </c>
      <c r="K84" s="72" t="s">
        <v>181</v>
      </c>
      <c r="L84" s="72">
        <v>21038.98</v>
      </c>
      <c r="M84" s="73">
        <v>104.67</v>
      </c>
      <c r="N84" s="73">
        <v>0.0</v>
      </c>
      <c r="O84" s="73">
        <v>2664.91</v>
      </c>
      <c r="P84" s="73">
        <f t="shared" si="34"/>
        <v>0</v>
      </c>
      <c r="Q84" s="73">
        <f t="shared" si="35"/>
        <v>955.9</v>
      </c>
      <c r="R84" s="74">
        <f t="shared" si="4"/>
        <v>0.04972094064</v>
      </c>
      <c r="S84" s="74">
        <f t="shared" si="5"/>
        <v>0.9502790594</v>
      </c>
      <c r="T84" s="75"/>
      <c r="V84" s="76"/>
      <c r="W84" s="77"/>
      <c r="X84" s="77"/>
      <c r="Y84" s="77"/>
      <c r="Z84" s="77"/>
      <c r="AA84" s="77"/>
      <c r="AB84" s="78">
        <f t="shared" si="6"/>
        <v>0</v>
      </c>
      <c r="AC84" s="77"/>
      <c r="AD84" s="79"/>
      <c r="AE84" s="80"/>
      <c r="AF84" s="81"/>
      <c r="AG84" s="79"/>
      <c r="AH84" s="80"/>
      <c r="AI84" s="82"/>
      <c r="AJ84" s="82">
        <f t="shared" si="7"/>
        <v>0</v>
      </c>
      <c r="AK84" s="83"/>
      <c r="AL84" s="84">
        <f t="shared" si="8"/>
        <v>0</v>
      </c>
      <c r="AP84" s="85">
        <f t="shared" si="9"/>
        <v>0</v>
      </c>
      <c r="AQ84" s="20">
        <f t="shared" si="10"/>
        <v>1</v>
      </c>
      <c r="AR84" s="20">
        <f t="shared" si="11"/>
        <v>0</v>
      </c>
      <c r="AS84" s="86">
        <f t="shared" si="12"/>
        <v>0</v>
      </c>
      <c r="AT84" s="87">
        <f t="shared" si="13"/>
        <v>0</v>
      </c>
      <c r="AU84" s="88">
        <f t="shared" si="14"/>
        <v>0</v>
      </c>
      <c r="AV84" s="89" t="str">
        <f t="shared" si="15"/>
        <v>#VALUE!</v>
      </c>
      <c r="AW84" s="90">
        <f t="shared" si="16"/>
        <v>0</v>
      </c>
      <c r="AY84" s="85">
        <f t="shared" si="17"/>
        <v>1</v>
      </c>
      <c r="AZ84" s="20">
        <f t="shared" si="18"/>
        <v>1</v>
      </c>
      <c r="BA84" s="20">
        <f t="shared" si="19"/>
        <v>1</v>
      </c>
      <c r="BB84" s="91">
        <f t="shared" si="20"/>
        <v>2664.91</v>
      </c>
      <c r="BC84" s="87">
        <f t="shared" si="21"/>
        <v>19225.3</v>
      </c>
      <c r="BD84" s="92">
        <f t="shared" si="22"/>
        <v>8.966666667</v>
      </c>
      <c r="BE84" s="89" t="str">
        <f t="shared" si="23"/>
        <v>#VALUE!</v>
      </c>
      <c r="BF84" s="90" t="str">
        <f t="shared" si="24"/>
        <v>#VALUE!</v>
      </c>
      <c r="BH84" s="93">
        <f t="shared" si="25"/>
        <v>19225.3</v>
      </c>
      <c r="BI84" s="94">
        <f t="shared" si="26"/>
        <v>1</v>
      </c>
      <c r="BJ84" s="95" t="str">
        <f t="shared" si="27"/>
        <v>#VALUE!</v>
      </c>
      <c r="BK84" s="96" t="str">
        <f t="shared" si="28"/>
        <v>#VALUE!</v>
      </c>
      <c r="BM84" s="97">
        <f t="shared" si="29"/>
        <v>1</v>
      </c>
    </row>
    <row r="85" ht="12.75" customHeight="1">
      <c r="A85" s="65"/>
      <c r="B85" s="66" t="s">
        <v>207</v>
      </c>
      <c r="C85" s="67">
        <v>11875.0</v>
      </c>
      <c r="D85" s="68">
        <v>13.0</v>
      </c>
      <c r="E85" s="67">
        <v>10871.76</v>
      </c>
      <c r="F85" s="68" t="s">
        <v>64</v>
      </c>
      <c r="G85" s="69">
        <v>40247.0</v>
      </c>
      <c r="H85" s="71" t="s">
        <v>57</v>
      </c>
      <c r="I85" s="69">
        <v>40339.0</v>
      </c>
      <c r="J85" s="71">
        <f t="shared" si="1"/>
        <v>3.066666667</v>
      </c>
      <c r="K85" s="72" t="s">
        <v>208</v>
      </c>
      <c r="L85" s="72">
        <v>15220.0</v>
      </c>
      <c r="M85" s="73">
        <v>159.17</v>
      </c>
      <c r="N85" s="73">
        <v>1344.87</v>
      </c>
      <c r="O85" s="73">
        <v>1756.0</v>
      </c>
      <c r="P85" s="73">
        <f t="shared" si="34"/>
        <v>0</v>
      </c>
      <c r="Q85" s="73">
        <f t="shared" si="35"/>
        <v>0</v>
      </c>
      <c r="R85" s="74">
        <f t="shared" si="4"/>
        <v>0</v>
      </c>
      <c r="S85" s="74">
        <f t="shared" si="5"/>
        <v>1</v>
      </c>
      <c r="T85" s="75"/>
      <c r="V85" s="76"/>
      <c r="W85" s="77"/>
      <c r="X85" s="77"/>
      <c r="Y85" s="77"/>
      <c r="Z85" s="77"/>
      <c r="AA85" s="77"/>
      <c r="AB85" s="78">
        <f t="shared" si="6"/>
        <v>0</v>
      </c>
      <c r="AC85" s="77"/>
      <c r="AD85" s="79"/>
      <c r="AE85" s="80"/>
      <c r="AF85" s="81"/>
      <c r="AG85" s="79"/>
      <c r="AH85" s="80"/>
      <c r="AI85" s="82"/>
      <c r="AJ85" s="82">
        <f t="shared" si="7"/>
        <v>0</v>
      </c>
      <c r="AK85" s="83"/>
      <c r="AL85" s="84">
        <f t="shared" si="8"/>
        <v>0</v>
      </c>
      <c r="AP85" s="85">
        <f t="shared" si="9"/>
        <v>0</v>
      </c>
      <c r="AQ85" s="20">
        <f t="shared" si="10"/>
        <v>1</v>
      </c>
      <c r="AR85" s="20">
        <f t="shared" si="11"/>
        <v>0</v>
      </c>
      <c r="AS85" s="86">
        <f t="shared" si="12"/>
        <v>0</v>
      </c>
      <c r="AT85" s="87">
        <f t="shared" si="13"/>
        <v>0</v>
      </c>
      <c r="AU85" s="88">
        <f t="shared" si="14"/>
        <v>0</v>
      </c>
      <c r="AV85" s="89" t="str">
        <f t="shared" si="15"/>
        <v>#VALUE!</v>
      </c>
      <c r="AW85" s="90">
        <f t="shared" si="16"/>
        <v>0</v>
      </c>
      <c r="AY85" s="85">
        <f t="shared" si="17"/>
        <v>1</v>
      </c>
      <c r="AZ85" s="20">
        <f t="shared" si="18"/>
        <v>1</v>
      </c>
      <c r="BA85" s="20">
        <f t="shared" si="19"/>
        <v>1</v>
      </c>
      <c r="BB85" s="91">
        <f t="shared" si="20"/>
        <v>3100.87</v>
      </c>
      <c r="BC85" s="87">
        <f t="shared" si="21"/>
        <v>10871.76</v>
      </c>
      <c r="BD85" s="92">
        <f t="shared" si="22"/>
        <v>3.066666667</v>
      </c>
      <c r="BE85" s="89" t="str">
        <f t="shared" si="23"/>
        <v>#VALUE!</v>
      </c>
      <c r="BF85" s="90" t="str">
        <f t="shared" si="24"/>
        <v>#VALUE!</v>
      </c>
      <c r="BH85" s="93">
        <f t="shared" si="25"/>
        <v>10871.76</v>
      </c>
      <c r="BI85" s="94">
        <f t="shared" si="26"/>
        <v>1</v>
      </c>
      <c r="BJ85" s="95" t="str">
        <f t="shared" si="27"/>
        <v>#VALUE!</v>
      </c>
      <c r="BK85" s="96" t="str">
        <f t="shared" si="28"/>
        <v>#VALUE!</v>
      </c>
      <c r="BM85" s="97">
        <f t="shared" si="29"/>
        <v>1</v>
      </c>
    </row>
    <row r="86" ht="12.75" customHeight="1">
      <c r="A86" s="65"/>
      <c r="B86" s="66" t="s">
        <v>209</v>
      </c>
      <c r="C86" s="67">
        <v>27225.0</v>
      </c>
      <c r="D86" s="68">
        <v>13.0</v>
      </c>
      <c r="E86" s="67">
        <v>25029.37</v>
      </c>
      <c r="F86" s="68" t="s">
        <v>64</v>
      </c>
      <c r="G86" s="69">
        <v>40247.0</v>
      </c>
      <c r="H86" s="71" t="s">
        <v>57</v>
      </c>
      <c r="I86" s="69">
        <v>40389.0</v>
      </c>
      <c r="J86" s="71">
        <f t="shared" si="1"/>
        <v>4.733333333</v>
      </c>
      <c r="K86" s="72" t="s">
        <v>210</v>
      </c>
      <c r="L86" s="72">
        <v>29000.0</v>
      </c>
      <c r="M86" s="73">
        <v>234.29</v>
      </c>
      <c r="N86" s="73">
        <v>0.0</v>
      </c>
      <c r="O86" s="73">
        <v>0.0</v>
      </c>
      <c r="P86" s="73">
        <f t="shared" si="34"/>
        <v>0</v>
      </c>
      <c r="Q86" s="73">
        <f t="shared" si="35"/>
        <v>0</v>
      </c>
      <c r="R86" s="74">
        <f t="shared" si="4"/>
        <v>0</v>
      </c>
      <c r="S86" s="74">
        <f t="shared" si="5"/>
        <v>1</v>
      </c>
      <c r="T86" s="75"/>
      <c r="V86" s="76"/>
      <c r="W86" s="77"/>
      <c r="X86" s="77"/>
      <c r="Y86" s="77"/>
      <c r="Z86" s="77"/>
      <c r="AA86" s="77"/>
      <c r="AB86" s="78">
        <f t="shared" si="6"/>
        <v>0</v>
      </c>
      <c r="AC86" s="77"/>
      <c r="AD86" s="79"/>
      <c r="AE86" s="80"/>
      <c r="AF86" s="81"/>
      <c r="AG86" s="79"/>
      <c r="AH86" s="80"/>
      <c r="AI86" s="82"/>
      <c r="AJ86" s="82">
        <f t="shared" si="7"/>
        <v>0</v>
      </c>
      <c r="AK86" s="83"/>
      <c r="AL86" s="84">
        <f t="shared" si="8"/>
        <v>0</v>
      </c>
      <c r="AP86" s="85">
        <f t="shared" si="9"/>
        <v>0</v>
      </c>
      <c r="AQ86" s="20">
        <f t="shared" si="10"/>
        <v>1</v>
      </c>
      <c r="AR86" s="20">
        <f t="shared" si="11"/>
        <v>0</v>
      </c>
      <c r="AS86" s="86">
        <f t="shared" si="12"/>
        <v>0</v>
      </c>
      <c r="AT86" s="87">
        <f t="shared" si="13"/>
        <v>0</v>
      </c>
      <c r="AU86" s="88">
        <f t="shared" si="14"/>
        <v>0</v>
      </c>
      <c r="AV86" s="89" t="str">
        <f t="shared" si="15"/>
        <v>#VALUE!</v>
      </c>
      <c r="AW86" s="90">
        <f t="shared" si="16"/>
        <v>0</v>
      </c>
      <c r="AY86" s="85">
        <f t="shared" si="17"/>
        <v>1</v>
      </c>
      <c r="AZ86" s="20">
        <f t="shared" si="18"/>
        <v>1</v>
      </c>
      <c r="BA86" s="20">
        <f t="shared" si="19"/>
        <v>1</v>
      </c>
      <c r="BB86" s="91">
        <f t="shared" si="20"/>
        <v>0</v>
      </c>
      <c r="BC86" s="87">
        <f t="shared" si="21"/>
        <v>25029.37</v>
      </c>
      <c r="BD86" s="92">
        <f t="shared" si="22"/>
        <v>4.733333333</v>
      </c>
      <c r="BE86" s="89" t="str">
        <f t="shared" si="23"/>
        <v>#VALUE!</v>
      </c>
      <c r="BF86" s="90" t="str">
        <f t="shared" si="24"/>
        <v>#VALUE!</v>
      </c>
      <c r="BH86" s="93">
        <f t="shared" si="25"/>
        <v>25029.37</v>
      </c>
      <c r="BI86" s="94">
        <f t="shared" si="26"/>
        <v>1</v>
      </c>
      <c r="BJ86" s="95" t="str">
        <f t="shared" si="27"/>
        <v>#VALUE!</v>
      </c>
      <c r="BK86" s="96" t="str">
        <f t="shared" si="28"/>
        <v>#VALUE!</v>
      </c>
      <c r="BM86" s="97">
        <f t="shared" si="29"/>
        <v>1</v>
      </c>
    </row>
    <row r="87" ht="12.75" customHeight="1">
      <c r="A87" s="65"/>
      <c r="B87" s="66" t="s">
        <v>211</v>
      </c>
      <c r="C87" s="67">
        <v>22831.38</v>
      </c>
      <c r="D87" s="68">
        <v>13.0</v>
      </c>
      <c r="E87" s="67">
        <v>20940.52</v>
      </c>
      <c r="F87" s="68" t="s">
        <v>64</v>
      </c>
      <c r="G87" s="69">
        <v>40247.0</v>
      </c>
      <c r="H87" s="71" t="s">
        <v>57</v>
      </c>
      <c r="I87" s="69">
        <v>40421.0</v>
      </c>
      <c r="J87" s="71">
        <f t="shared" si="1"/>
        <v>5.8</v>
      </c>
      <c r="K87" s="72" t="s">
        <v>212</v>
      </c>
      <c r="L87" s="72">
        <v>24200.0</v>
      </c>
      <c r="M87" s="73">
        <v>0.0</v>
      </c>
      <c r="N87" s="73">
        <v>1314.48</v>
      </c>
      <c r="O87" s="73">
        <v>0.0</v>
      </c>
      <c r="P87" s="73">
        <f t="shared" si="34"/>
        <v>0</v>
      </c>
      <c r="Q87" s="73">
        <f t="shared" si="35"/>
        <v>0</v>
      </c>
      <c r="R87" s="74">
        <f t="shared" si="4"/>
        <v>0</v>
      </c>
      <c r="S87" s="74">
        <f t="shared" si="5"/>
        <v>1</v>
      </c>
      <c r="T87" s="75"/>
      <c r="V87" s="76"/>
      <c r="W87" s="77"/>
      <c r="X87" s="77"/>
      <c r="Y87" s="77"/>
      <c r="Z87" s="77"/>
      <c r="AA87" s="77"/>
      <c r="AB87" s="78">
        <f t="shared" si="6"/>
        <v>0</v>
      </c>
      <c r="AC87" s="77"/>
      <c r="AD87" s="79"/>
      <c r="AE87" s="80"/>
      <c r="AF87" s="81"/>
      <c r="AG87" s="79"/>
      <c r="AH87" s="80"/>
      <c r="AI87" s="82"/>
      <c r="AJ87" s="82">
        <f t="shared" si="7"/>
        <v>0</v>
      </c>
      <c r="AK87" s="83"/>
      <c r="AL87" s="84">
        <f t="shared" si="8"/>
        <v>0</v>
      </c>
      <c r="AP87" s="85">
        <f t="shared" si="9"/>
        <v>0</v>
      </c>
      <c r="AQ87" s="20">
        <f t="shared" si="10"/>
        <v>1</v>
      </c>
      <c r="AR87" s="20">
        <f t="shared" si="11"/>
        <v>0</v>
      </c>
      <c r="AS87" s="86">
        <f t="shared" si="12"/>
        <v>0</v>
      </c>
      <c r="AT87" s="87">
        <f t="shared" si="13"/>
        <v>0</v>
      </c>
      <c r="AU87" s="88">
        <f t="shared" si="14"/>
        <v>0</v>
      </c>
      <c r="AV87" s="89" t="str">
        <f t="shared" si="15"/>
        <v>#VALUE!</v>
      </c>
      <c r="AW87" s="90">
        <f t="shared" si="16"/>
        <v>0</v>
      </c>
      <c r="AY87" s="85">
        <f t="shared" si="17"/>
        <v>1</v>
      </c>
      <c r="AZ87" s="20">
        <f t="shared" si="18"/>
        <v>1</v>
      </c>
      <c r="BA87" s="20">
        <f t="shared" si="19"/>
        <v>1</v>
      </c>
      <c r="BB87" s="91">
        <f t="shared" si="20"/>
        <v>1314.48</v>
      </c>
      <c r="BC87" s="87">
        <f t="shared" si="21"/>
        <v>20940.52</v>
      </c>
      <c r="BD87" s="92">
        <f t="shared" si="22"/>
        <v>5.8</v>
      </c>
      <c r="BE87" s="89" t="str">
        <f t="shared" si="23"/>
        <v>#VALUE!</v>
      </c>
      <c r="BF87" s="90" t="str">
        <f t="shared" si="24"/>
        <v>#VALUE!</v>
      </c>
      <c r="BH87" s="93">
        <f t="shared" si="25"/>
        <v>20940.52</v>
      </c>
      <c r="BI87" s="94">
        <f t="shared" si="26"/>
        <v>1</v>
      </c>
      <c r="BJ87" s="95" t="str">
        <f t="shared" si="27"/>
        <v>#VALUE!</v>
      </c>
      <c r="BK87" s="96" t="str">
        <f t="shared" si="28"/>
        <v>#VALUE!</v>
      </c>
      <c r="BM87" s="97">
        <f t="shared" si="29"/>
        <v>1</v>
      </c>
    </row>
    <row r="88" ht="12.75" customHeight="1">
      <c r="A88" s="65"/>
      <c r="B88" s="66" t="s">
        <v>213</v>
      </c>
      <c r="C88" s="67">
        <v>25171.72</v>
      </c>
      <c r="D88" s="68">
        <v>13.0</v>
      </c>
      <c r="E88" s="67">
        <v>24291.75</v>
      </c>
      <c r="F88" s="68" t="s">
        <v>64</v>
      </c>
      <c r="G88" s="69">
        <v>40247.0</v>
      </c>
      <c r="H88" s="71" t="s">
        <v>57</v>
      </c>
      <c r="I88" s="69">
        <v>40466.0</v>
      </c>
      <c r="J88" s="71">
        <f t="shared" si="1"/>
        <v>7.3</v>
      </c>
      <c r="K88" s="72" t="s">
        <v>214</v>
      </c>
      <c r="L88" s="72">
        <v>33500.0</v>
      </c>
      <c r="M88" s="73">
        <v>2067.02</v>
      </c>
      <c r="N88" s="73">
        <v>2755.11</v>
      </c>
      <c r="O88" s="73">
        <v>105.0</v>
      </c>
      <c r="P88" s="73">
        <f t="shared" si="34"/>
        <v>0</v>
      </c>
      <c r="Q88" s="73">
        <f t="shared" si="35"/>
        <v>0</v>
      </c>
      <c r="R88" s="74">
        <f t="shared" si="4"/>
        <v>0</v>
      </c>
      <c r="S88" s="74">
        <f t="shared" si="5"/>
        <v>1</v>
      </c>
      <c r="T88" s="75"/>
      <c r="V88" s="76"/>
      <c r="W88" s="77"/>
      <c r="X88" s="77"/>
      <c r="Y88" s="77"/>
      <c r="Z88" s="77"/>
      <c r="AA88" s="77"/>
      <c r="AB88" s="78">
        <f t="shared" si="6"/>
        <v>0</v>
      </c>
      <c r="AC88" s="77"/>
      <c r="AD88" s="79"/>
      <c r="AE88" s="80"/>
      <c r="AF88" s="81"/>
      <c r="AG88" s="79"/>
      <c r="AH88" s="80"/>
      <c r="AI88" s="82"/>
      <c r="AJ88" s="82">
        <f t="shared" si="7"/>
        <v>0</v>
      </c>
      <c r="AK88" s="83"/>
      <c r="AL88" s="84">
        <f t="shared" si="8"/>
        <v>0</v>
      </c>
      <c r="AP88" s="85">
        <f t="shared" si="9"/>
        <v>0</v>
      </c>
      <c r="AQ88" s="20">
        <f t="shared" si="10"/>
        <v>1</v>
      </c>
      <c r="AR88" s="20">
        <f t="shared" si="11"/>
        <v>0</v>
      </c>
      <c r="AS88" s="86">
        <f t="shared" si="12"/>
        <v>0</v>
      </c>
      <c r="AT88" s="87">
        <f t="shared" si="13"/>
        <v>0</v>
      </c>
      <c r="AU88" s="88">
        <f t="shared" si="14"/>
        <v>0</v>
      </c>
      <c r="AV88" s="89" t="str">
        <f t="shared" si="15"/>
        <v>#VALUE!</v>
      </c>
      <c r="AW88" s="90">
        <f t="shared" si="16"/>
        <v>0</v>
      </c>
      <c r="AY88" s="85">
        <f t="shared" si="17"/>
        <v>1</v>
      </c>
      <c r="AZ88" s="20">
        <f t="shared" si="18"/>
        <v>1</v>
      </c>
      <c r="BA88" s="20">
        <f t="shared" si="19"/>
        <v>1</v>
      </c>
      <c r="BB88" s="91">
        <f t="shared" si="20"/>
        <v>2860.11</v>
      </c>
      <c r="BC88" s="87">
        <f t="shared" si="21"/>
        <v>24291.75</v>
      </c>
      <c r="BD88" s="92">
        <f t="shared" si="22"/>
        <v>7.3</v>
      </c>
      <c r="BE88" s="89" t="str">
        <f t="shared" si="23"/>
        <v>#VALUE!</v>
      </c>
      <c r="BF88" s="90" t="str">
        <f t="shared" si="24"/>
        <v>#VALUE!</v>
      </c>
      <c r="BH88" s="93">
        <f t="shared" si="25"/>
        <v>24291.75</v>
      </c>
      <c r="BI88" s="94">
        <f t="shared" si="26"/>
        <v>1</v>
      </c>
      <c r="BJ88" s="95" t="str">
        <f t="shared" si="27"/>
        <v>#VALUE!</v>
      </c>
      <c r="BK88" s="96" t="str">
        <f t="shared" si="28"/>
        <v>#VALUE!</v>
      </c>
      <c r="BM88" s="97">
        <f t="shared" si="29"/>
        <v>1</v>
      </c>
    </row>
    <row r="89" ht="12.75" customHeight="1">
      <c r="A89" s="65"/>
      <c r="B89" s="66" t="s">
        <v>215</v>
      </c>
      <c r="C89" s="67">
        <v>20985.2</v>
      </c>
      <c r="D89" s="68">
        <v>13.0</v>
      </c>
      <c r="E89" s="67">
        <v>20241.15</v>
      </c>
      <c r="F89" s="68" t="s">
        <v>56</v>
      </c>
      <c r="G89" s="69">
        <v>40252.0</v>
      </c>
      <c r="H89" s="71" t="s">
        <v>57</v>
      </c>
      <c r="I89" s="69">
        <v>40540.0</v>
      </c>
      <c r="J89" s="71">
        <f t="shared" si="1"/>
        <v>9.6</v>
      </c>
      <c r="K89" s="72" t="s">
        <v>216</v>
      </c>
      <c r="L89" s="72">
        <v>23000.0</v>
      </c>
      <c r="M89" s="73">
        <v>870.81</v>
      </c>
      <c r="N89" s="73">
        <v>3439.3</v>
      </c>
      <c r="O89" s="73">
        <v>269.3</v>
      </c>
      <c r="P89" s="73">
        <f t="shared" si="34"/>
        <v>0</v>
      </c>
      <c r="Q89" s="73">
        <f t="shared" si="35"/>
        <v>1820.56</v>
      </c>
      <c r="R89" s="74">
        <f t="shared" si="4"/>
        <v>0.08994350617</v>
      </c>
      <c r="S89" s="74">
        <f t="shared" si="5"/>
        <v>0.9100564938</v>
      </c>
      <c r="T89" s="75"/>
      <c r="V89" s="76"/>
      <c r="W89" s="77"/>
      <c r="X89" s="77"/>
      <c r="Y89" s="77"/>
      <c r="Z89" s="77"/>
      <c r="AA89" s="77"/>
      <c r="AB89" s="78">
        <f t="shared" si="6"/>
        <v>0</v>
      </c>
      <c r="AC89" s="77"/>
      <c r="AD89" s="79"/>
      <c r="AE89" s="80"/>
      <c r="AF89" s="81"/>
      <c r="AG89" s="79"/>
      <c r="AH89" s="80"/>
      <c r="AI89" s="82"/>
      <c r="AJ89" s="82">
        <f t="shared" si="7"/>
        <v>0</v>
      </c>
      <c r="AK89" s="83"/>
      <c r="AL89" s="84">
        <f t="shared" si="8"/>
        <v>0</v>
      </c>
      <c r="AP89" s="85">
        <f t="shared" si="9"/>
        <v>1</v>
      </c>
      <c r="AQ89" s="20">
        <f t="shared" si="10"/>
        <v>1</v>
      </c>
      <c r="AR89" s="20">
        <f t="shared" si="11"/>
        <v>1</v>
      </c>
      <c r="AS89" s="86">
        <f t="shared" si="12"/>
        <v>3708.6</v>
      </c>
      <c r="AT89" s="87">
        <f t="shared" si="13"/>
        <v>20241.15</v>
      </c>
      <c r="AU89" s="88">
        <f t="shared" si="14"/>
        <v>9.6</v>
      </c>
      <c r="AV89" s="89" t="str">
        <f t="shared" si="15"/>
        <v>#VALUE!</v>
      </c>
      <c r="AW89" s="90" t="str">
        <f t="shared" si="16"/>
        <v>#VALUE!</v>
      </c>
      <c r="AY89" s="85">
        <f t="shared" si="17"/>
        <v>0</v>
      </c>
      <c r="AZ89" s="20">
        <f t="shared" si="18"/>
        <v>1</v>
      </c>
      <c r="BA89" s="20">
        <f t="shared" si="19"/>
        <v>0</v>
      </c>
      <c r="BB89" s="91">
        <f t="shared" si="20"/>
        <v>0</v>
      </c>
      <c r="BC89" s="87">
        <f t="shared" si="21"/>
        <v>0</v>
      </c>
      <c r="BD89" s="92">
        <f t="shared" si="22"/>
        <v>0</v>
      </c>
      <c r="BE89" s="89" t="str">
        <f t="shared" si="23"/>
        <v>#VALUE!</v>
      </c>
      <c r="BF89" s="90">
        <f t="shared" si="24"/>
        <v>0</v>
      </c>
      <c r="BH89" s="93">
        <f t="shared" si="25"/>
        <v>20241.15</v>
      </c>
      <c r="BI89" s="94">
        <f t="shared" si="26"/>
        <v>1</v>
      </c>
      <c r="BJ89" s="95" t="str">
        <f t="shared" si="27"/>
        <v>#VALUE!</v>
      </c>
      <c r="BK89" s="96" t="str">
        <f t="shared" si="28"/>
        <v>#VALUE!</v>
      </c>
      <c r="BM89" s="97">
        <f t="shared" si="29"/>
        <v>1</v>
      </c>
    </row>
    <row r="90" ht="12.75" customHeight="1">
      <c r="A90" s="65"/>
      <c r="B90" s="66" t="s">
        <v>217</v>
      </c>
      <c r="C90" s="67">
        <v>20250.0</v>
      </c>
      <c r="D90" s="68">
        <v>13.0</v>
      </c>
      <c r="E90" s="67">
        <f>12975.9+6447.38</f>
        <v>19423.28</v>
      </c>
      <c r="F90" s="68" t="s">
        <v>64</v>
      </c>
      <c r="G90" s="69">
        <v>40298.0</v>
      </c>
      <c r="H90" s="71" t="s">
        <v>57</v>
      </c>
      <c r="I90" s="69">
        <v>40387.0</v>
      </c>
      <c r="J90" s="71">
        <f t="shared" si="1"/>
        <v>2.966666667</v>
      </c>
      <c r="K90" s="72" t="s">
        <v>218</v>
      </c>
      <c r="L90" s="72">
        <v>34500.0</v>
      </c>
      <c r="M90" s="73">
        <v>341.49</v>
      </c>
      <c r="N90" s="73">
        <v>20.0</v>
      </c>
      <c r="O90" s="73">
        <v>620.0</v>
      </c>
      <c r="P90" s="73">
        <f t="shared" si="34"/>
        <v>0</v>
      </c>
      <c r="Q90" s="73">
        <f t="shared" si="35"/>
        <v>0</v>
      </c>
      <c r="R90" s="74">
        <f t="shared" si="4"/>
        <v>0</v>
      </c>
      <c r="S90" s="74">
        <f t="shared" si="5"/>
        <v>1</v>
      </c>
      <c r="T90" s="75"/>
      <c r="V90" s="76"/>
      <c r="W90" s="77"/>
      <c r="X90" s="77"/>
      <c r="Y90" s="77"/>
      <c r="Z90" s="77"/>
      <c r="AA90" s="77"/>
      <c r="AB90" s="78">
        <f t="shared" si="6"/>
        <v>0</v>
      </c>
      <c r="AC90" s="77"/>
      <c r="AD90" s="79"/>
      <c r="AE90" s="80"/>
      <c r="AF90" s="81"/>
      <c r="AG90" s="79"/>
      <c r="AH90" s="80"/>
      <c r="AI90" s="82"/>
      <c r="AJ90" s="82">
        <f t="shared" si="7"/>
        <v>0</v>
      </c>
      <c r="AK90" s="83"/>
      <c r="AL90" s="84">
        <f t="shared" si="8"/>
        <v>0</v>
      </c>
      <c r="AP90" s="85">
        <f t="shared" si="9"/>
        <v>0</v>
      </c>
      <c r="AQ90" s="20">
        <f t="shared" si="10"/>
        <v>1</v>
      </c>
      <c r="AR90" s="20">
        <f t="shared" si="11"/>
        <v>0</v>
      </c>
      <c r="AS90" s="86">
        <f t="shared" si="12"/>
        <v>0</v>
      </c>
      <c r="AT90" s="87">
        <f t="shared" si="13"/>
        <v>0</v>
      </c>
      <c r="AU90" s="88">
        <f t="shared" si="14"/>
        <v>0</v>
      </c>
      <c r="AV90" s="89" t="str">
        <f t="shared" si="15"/>
        <v>#VALUE!</v>
      </c>
      <c r="AW90" s="90">
        <f t="shared" si="16"/>
        <v>0</v>
      </c>
      <c r="AY90" s="85">
        <f t="shared" si="17"/>
        <v>1</v>
      </c>
      <c r="AZ90" s="20">
        <f t="shared" si="18"/>
        <v>1</v>
      </c>
      <c r="BA90" s="20">
        <f t="shared" si="19"/>
        <v>1</v>
      </c>
      <c r="BB90" s="91">
        <f t="shared" si="20"/>
        <v>640</v>
      </c>
      <c r="BC90" s="87">
        <f t="shared" si="21"/>
        <v>19423.28</v>
      </c>
      <c r="BD90" s="92">
        <f t="shared" si="22"/>
        <v>2.966666667</v>
      </c>
      <c r="BE90" s="89" t="str">
        <f t="shared" si="23"/>
        <v>#VALUE!</v>
      </c>
      <c r="BF90" s="90" t="str">
        <f t="shared" si="24"/>
        <v>#VALUE!</v>
      </c>
      <c r="BH90" s="93">
        <f t="shared" si="25"/>
        <v>19423.28</v>
      </c>
      <c r="BI90" s="94">
        <f t="shared" si="26"/>
        <v>1</v>
      </c>
      <c r="BJ90" s="95" t="str">
        <f t="shared" si="27"/>
        <v>#VALUE!</v>
      </c>
      <c r="BK90" s="96" t="str">
        <f t="shared" si="28"/>
        <v>#VALUE!</v>
      </c>
      <c r="BM90" s="97">
        <f t="shared" si="29"/>
        <v>1</v>
      </c>
    </row>
    <row r="91" ht="12.75" customHeight="1">
      <c r="A91" s="65"/>
      <c r="B91" s="66" t="s">
        <v>219</v>
      </c>
      <c r="C91" s="67">
        <v>19292.84</v>
      </c>
      <c r="D91" s="68">
        <v>13.0</v>
      </c>
      <c r="E91" s="67">
        <v>18470.26</v>
      </c>
      <c r="F91" s="68" t="s">
        <v>64</v>
      </c>
      <c r="G91" s="69">
        <v>40298.0</v>
      </c>
      <c r="H91" s="71" t="s">
        <v>57</v>
      </c>
      <c r="I91" s="69">
        <v>40387.0</v>
      </c>
      <c r="J91" s="71">
        <f t="shared" si="1"/>
        <v>2.966666667</v>
      </c>
      <c r="K91" s="72" t="s">
        <v>220</v>
      </c>
      <c r="L91" s="72">
        <v>23500.0</v>
      </c>
      <c r="M91" s="73">
        <v>242.81</v>
      </c>
      <c r="N91" s="73">
        <v>1742.3</v>
      </c>
      <c r="O91" s="73">
        <v>0.0</v>
      </c>
      <c r="P91" s="73">
        <f t="shared" si="34"/>
        <v>0</v>
      </c>
      <c r="Q91" s="73">
        <f t="shared" si="35"/>
        <v>0</v>
      </c>
      <c r="R91" s="74">
        <f t="shared" si="4"/>
        <v>0</v>
      </c>
      <c r="S91" s="74">
        <f t="shared" si="5"/>
        <v>1</v>
      </c>
      <c r="T91" s="75"/>
      <c r="V91" s="76"/>
      <c r="W91" s="77"/>
      <c r="X91" s="77"/>
      <c r="Y91" s="77"/>
      <c r="Z91" s="77"/>
      <c r="AA91" s="77"/>
      <c r="AB91" s="78">
        <f t="shared" si="6"/>
        <v>0</v>
      </c>
      <c r="AC91" s="77"/>
      <c r="AD91" s="79"/>
      <c r="AE91" s="80"/>
      <c r="AF91" s="81"/>
      <c r="AG91" s="79"/>
      <c r="AH91" s="80"/>
      <c r="AI91" s="82"/>
      <c r="AJ91" s="82">
        <f t="shared" si="7"/>
        <v>0</v>
      </c>
      <c r="AK91" s="83"/>
      <c r="AL91" s="84">
        <f t="shared" si="8"/>
        <v>0</v>
      </c>
      <c r="AP91" s="85">
        <f t="shared" si="9"/>
        <v>0</v>
      </c>
      <c r="AQ91" s="20">
        <f t="shared" si="10"/>
        <v>1</v>
      </c>
      <c r="AR91" s="20">
        <f t="shared" si="11"/>
        <v>0</v>
      </c>
      <c r="AS91" s="86">
        <f t="shared" si="12"/>
        <v>0</v>
      </c>
      <c r="AT91" s="87">
        <f t="shared" si="13"/>
        <v>0</v>
      </c>
      <c r="AU91" s="88">
        <f t="shared" si="14"/>
        <v>0</v>
      </c>
      <c r="AV91" s="89" t="str">
        <f t="shared" si="15"/>
        <v>#VALUE!</v>
      </c>
      <c r="AW91" s="90">
        <f t="shared" si="16"/>
        <v>0</v>
      </c>
      <c r="AY91" s="85">
        <f t="shared" si="17"/>
        <v>1</v>
      </c>
      <c r="AZ91" s="20">
        <f t="shared" si="18"/>
        <v>1</v>
      </c>
      <c r="BA91" s="20">
        <f t="shared" si="19"/>
        <v>1</v>
      </c>
      <c r="BB91" s="91">
        <f t="shared" si="20"/>
        <v>1742.3</v>
      </c>
      <c r="BC91" s="87">
        <f t="shared" si="21"/>
        <v>18470.26</v>
      </c>
      <c r="BD91" s="92">
        <f t="shared" si="22"/>
        <v>2.966666667</v>
      </c>
      <c r="BE91" s="89" t="str">
        <f t="shared" si="23"/>
        <v>#VALUE!</v>
      </c>
      <c r="BF91" s="90" t="str">
        <f t="shared" si="24"/>
        <v>#VALUE!</v>
      </c>
      <c r="BH91" s="93">
        <f t="shared" si="25"/>
        <v>18470.26</v>
      </c>
      <c r="BI91" s="94">
        <f t="shared" si="26"/>
        <v>1</v>
      </c>
      <c r="BJ91" s="95" t="str">
        <f t="shared" si="27"/>
        <v>#VALUE!</v>
      </c>
      <c r="BK91" s="96" t="str">
        <f t="shared" si="28"/>
        <v>#VALUE!</v>
      </c>
      <c r="BM91" s="97">
        <f t="shared" si="29"/>
        <v>1</v>
      </c>
    </row>
    <row r="92" ht="12.75" customHeight="1">
      <c r="A92" s="65"/>
      <c r="B92" s="66" t="s">
        <v>221</v>
      </c>
      <c r="C92" s="67">
        <v>30306.13</v>
      </c>
      <c r="D92" s="68">
        <v>13.0</v>
      </c>
      <c r="E92" s="67">
        <v>28242.1</v>
      </c>
      <c r="F92" s="68" t="s">
        <v>64</v>
      </c>
      <c r="G92" s="69">
        <v>40298.0</v>
      </c>
      <c r="H92" s="71" t="s">
        <v>57</v>
      </c>
      <c r="I92" s="69">
        <v>40421.0</v>
      </c>
      <c r="J92" s="71">
        <f t="shared" si="1"/>
        <v>4.1</v>
      </c>
      <c r="K92" s="72" t="s">
        <v>222</v>
      </c>
      <c r="L92" s="72">
        <v>31000.0</v>
      </c>
      <c r="M92" s="73">
        <v>177.19</v>
      </c>
      <c r="N92" s="73">
        <v>0.0</v>
      </c>
      <c r="O92" s="73">
        <v>115.0</v>
      </c>
      <c r="P92" s="73">
        <f t="shared" si="34"/>
        <v>0</v>
      </c>
      <c r="Q92" s="73">
        <f t="shared" si="35"/>
        <v>0</v>
      </c>
      <c r="R92" s="74">
        <f t="shared" si="4"/>
        <v>0</v>
      </c>
      <c r="S92" s="74">
        <f t="shared" si="5"/>
        <v>1</v>
      </c>
      <c r="T92" s="75"/>
      <c r="V92" s="76"/>
      <c r="W92" s="77"/>
      <c r="X92" s="77"/>
      <c r="Y92" s="77"/>
      <c r="Z92" s="77"/>
      <c r="AA92" s="77"/>
      <c r="AB92" s="78">
        <f t="shared" si="6"/>
        <v>0</v>
      </c>
      <c r="AC92" s="77"/>
      <c r="AD92" s="79"/>
      <c r="AE92" s="80"/>
      <c r="AF92" s="81"/>
      <c r="AG92" s="79"/>
      <c r="AH92" s="80"/>
      <c r="AI92" s="82"/>
      <c r="AJ92" s="82">
        <f t="shared" si="7"/>
        <v>0</v>
      </c>
      <c r="AK92" s="83"/>
      <c r="AL92" s="84">
        <f t="shared" si="8"/>
        <v>0</v>
      </c>
      <c r="AP92" s="85">
        <f t="shared" si="9"/>
        <v>0</v>
      </c>
      <c r="AQ92" s="20">
        <f t="shared" si="10"/>
        <v>1</v>
      </c>
      <c r="AR92" s="20">
        <f t="shared" si="11"/>
        <v>0</v>
      </c>
      <c r="AS92" s="86">
        <f t="shared" si="12"/>
        <v>0</v>
      </c>
      <c r="AT92" s="87">
        <f t="shared" si="13"/>
        <v>0</v>
      </c>
      <c r="AU92" s="88">
        <f t="shared" si="14"/>
        <v>0</v>
      </c>
      <c r="AV92" s="89" t="str">
        <f t="shared" si="15"/>
        <v>#VALUE!</v>
      </c>
      <c r="AW92" s="90">
        <f t="shared" si="16"/>
        <v>0</v>
      </c>
      <c r="AY92" s="85">
        <f t="shared" si="17"/>
        <v>1</v>
      </c>
      <c r="AZ92" s="20">
        <f t="shared" si="18"/>
        <v>1</v>
      </c>
      <c r="BA92" s="20">
        <f t="shared" si="19"/>
        <v>1</v>
      </c>
      <c r="BB92" s="91">
        <f t="shared" si="20"/>
        <v>115</v>
      </c>
      <c r="BC92" s="87">
        <f t="shared" si="21"/>
        <v>28242.1</v>
      </c>
      <c r="BD92" s="92">
        <f t="shared" si="22"/>
        <v>4.1</v>
      </c>
      <c r="BE92" s="89" t="str">
        <f t="shared" si="23"/>
        <v>#VALUE!</v>
      </c>
      <c r="BF92" s="90" t="str">
        <f t="shared" si="24"/>
        <v>#VALUE!</v>
      </c>
      <c r="BH92" s="93">
        <f t="shared" si="25"/>
        <v>28242.1</v>
      </c>
      <c r="BI92" s="94">
        <f t="shared" si="26"/>
        <v>1</v>
      </c>
      <c r="BJ92" s="95" t="str">
        <f t="shared" si="27"/>
        <v>#VALUE!</v>
      </c>
      <c r="BK92" s="96" t="str">
        <f t="shared" si="28"/>
        <v>#VALUE!</v>
      </c>
      <c r="BM92" s="97">
        <f t="shared" si="29"/>
        <v>1</v>
      </c>
    </row>
    <row r="93" ht="12.75" customHeight="1">
      <c r="A93" s="65"/>
      <c r="B93" s="66" t="s">
        <v>223</v>
      </c>
      <c r="C93" s="67">
        <v>27949.25</v>
      </c>
      <c r="D93" s="68">
        <v>13.0</v>
      </c>
      <c r="E93" s="67">
        <v>26698.36</v>
      </c>
      <c r="F93" s="68" t="s">
        <v>64</v>
      </c>
      <c r="G93" s="69">
        <v>40298.0</v>
      </c>
      <c r="H93" s="71" t="s">
        <v>57</v>
      </c>
      <c r="I93" s="69">
        <v>40466.0</v>
      </c>
      <c r="J93" s="71">
        <f t="shared" si="1"/>
        <v>5.6</v>
      </c>
      <c r="K93" s="72" t="s">
        <v>224</v>
      </c>
      <c r="L93" s="72">
        <v>36500.0</v>
      </c>
      <c r="M93" s="73">
        <v>151.14</v>
      </c>
      <c r="N93" s="73">
        <v>0.0</v>
      </c>
      <c r="O93" s="73">
        <v>0.0</v>
      </c>
      <c r="P93" s="73">
        <f t="shared" si="34"/>
        <v>0</v>
      </c>
      <c r="Q93" s="73">
        <f t="shared" si="35"/>
        <v>0</v>
      </c>
      <c r="R93" s="74">
        <f t="shared" si="4"/>
        <v>0</v>
      </c>
      <c r="S93" s="74">
        <f t="shared" si="5"/>
        <v>1</v>
      </c>
      <c r="T93" s="75"/>
      <c r="V93" s="76"/>
      <c r="W93" s="77"/>
      <c r="X93" s="77"/>
      <c r="Y93" s="77"/>
      <c r="Z93" s="77"/>
      <c r="AA93" s="77"/>
      <c r="AB93" s="78">
        <f t="shared" si="6"/>
        <v>0</v>
      </c>
      <c r="AC93" s="77"/>
      <c r="AD93" s="79"/>
      <c r="AE93" s="80"/>
      <c r="AF93" s="81"/>
      <c r="AG93" s="79"/>
      <c r="AH93" s="80"/>
      <c r="AI93" s="82"/>
      <c r="AJ93" s="82">
        <f t="shared" si="7"/>
        <v>0</v>
      </c>
      <c r="AK93" s="83"/>
      <c r="AL93" s="84">
        <f t="shared" si="8"/>
        <v>0</v>
      </c>
      <c r="AP93" s="85">
        <f t="shared" si="9"/>
        <v>0</v>
      </c>
      <c r="AQ93" s="20">
        <f t="shared" si="10"/>
        <v>1</v>
      </c>
      <c r="AR93" s="20">
        <f t="shared" si="11"/>
        <v>0</v>
      </c>
      <c r="AS93" s="86">
        <f t="shared" si="12"/>
        <v>0</v>
      </c>
      <c r="AT93" s="87">
        <f t="shared" si="13"/>
        <v>0</v>
      </c>
      <c r="AU93" s="88">
        <f t="shared" si="14"/>
        <v>0</v>
      </c>
      <c r="AV93" s="89" t="str">
        <f t="shared" si="15"/>
        <v>#VALUE!</v>
      </c>
      <c r="AW93" s="90">
        <f t="shared" si="16"/>
        <v>0</v>
      </c>
      <c r="AY93" s="85">
        <f t="shared" si="17"/>
        <v>1</v>
      </c>
      <c r="AZ93" s="20">
        <f t="shared" si="18"/>
        <v>1</v>
      </c>
      <c r="BA93" s="20">
        <f t="shared" si="19"/>
        <v>1</v>
      </c>
      <c r="BB93" s="91">
        <f t="shared" si="20"/>
        <v>0</v>
      </c>
      <c r="BC93" s="87">
        <f t="shared" si="21"/>
        <v>26698.36</v>
      </c>
      <c r="BD93" s="92">
        <f t="shared" si="22"/>
        <v>5.6</v>
      </c>
      <c r="BE93" s="89" t="str">
        <f t="shared" si="23"/>
        <v>#VALUE!</v>
      </c>
      <c r="BF93" s="90" t="str">
        <f t="shared" si="24"/>
        <v>#VALUE!</v>
      </c>
      <c r="BH93" s="93">
        <f t="shared" si="25"/>
        <v>26698.36</v>
      </c>
      <c r="BI93" s="94">
        <f t="shared" si="26"/>
        <v>1</v>
      </c>
      <c r="BJ93" s="95" t="str">
        <f t="shared" si="27"/>
        <v>#VALUE!</v>
      </c>
      <c r="BK93" s="96" t="str">
        <f t="shared" si="28"/>
        <v>#VALUE!</v>
      </c>
      <c r="BM93" s="97">
        <f t="shared" si="29"/>
        <v>1</v>
      </c>
    </row>
    <row r="94" ht="12.75" customHeight="1">
      <c r="A94" s="65"/>
      <c r="B94" s="66" t="s">
        <v>225</v>
      </c>
      <c r="C94" s="67">
        <v>19500.0</v>
      </c>
      <c r="D94" s="68">
        <v>13.0</v>
      </c>
      <c r="E94" s="67">
        <v>18719.98</v>
      </c>
      <c r="F94" s="68" t="s">
        <v>64</v>
      </c>
      <c r="G94" s="69">
        <v>40400.0</v>
      </c>
      <c r="H94" s="71" t="s">
        <v>57</v>
      </c>
      <c r="I94" s="69">
        <v>40542.0</v>
      </c>
      <c r="J94" s="71">
        <f t="shared" si="1"/>
        <v>4.733333333</v>
      </c>
      <c r="K94" s="72" t="s">
        <v>226</v>
      </c>
      <c r="L94" s="72">
        <v>23000.0</v>
      </c>
      <c r="M94" s="73">
        <v>137.75</v>
      </c>
      <c r="N94" s="73"/>
      <c r="O94" s="73">
        <v>2265.83</v>
      </c>
      <c r="P94" s="73">
        <f t="shared" si="34"/>
        <v>0</v>
      </c>
      <c r="Q94" s="73">
        <f t="shared" si="35"/>
        <v>0</v>
      </c>
      <c r="R94" s="74">
        <f t="shared" si="4"/>
        <v>0</v>
      </c>
      <c r="S94" s="74">
        <f t="shared" si="5"/>
        <v>1</v>
      </c>
      <c r="T94" s="75"/>
      <c r="V94" s="76"/>
      <c r="W94" s="77"/>
      <c r="X94" s="77"/>
      <c r="Y94" s="77"/>
      <c r="Z94" s="77"/>
      <c r="AA94" s="77"/>
      <c r="AB94" s="78">
        <f t="shared" si="6"/>
        <v>0</v>
      </c>
      <c r="AC94" s="77"/>
      <c r="AD94" s="79"/>
      <c r="AE94" s="80"/>
      <c r="AF94" s="81"/>
      <c r="AG94" s="79"/>
      <c r="AH94" s="80"/>
      <c r="AI94" s="82"/>
      <c r="AJ94" s="82">
        <f t="shared" si="7"/>
        <v>0</v>
      </c>
      <c r="AK94" s="83"/>
      <c r="AL94" s="84">
        <f t="shared" si="8"/>
        <v>0</v>
      </c>
      <c r="AP94" s="85">
        <f t="shared" si="9"/>
        <v>0</v>
      </c>
      <c r="AQ94" s="20">
        <f t="shared" si="10"/>
        <v>1</v>
      </c>
      <c r="AR94" s="20">
        <f t="shared" si="11"/>
        <v>0</v>
      </c>
      <c r="AS94" s="86">
        <f t="shared" si="12"/>
        <v>0</v>
      </c>
      <c r="AT94" s="87">
        <f t="shared" si="13"/>
        <v>0</v>
      </c>
      <c r="AU94" s="88">
        <f t="shared" si="14"/>
        <v>0</v>
      </c>
      <c r="AV94" s="89" t="str">
        <f t="shared" si="15"/>
        <v>#VALUE!</v>
      </c>
      <c r="AW94" s="90">
        <f t="shared" si="16"/>
        <v>0</v>
      </c>
      <c r="AY94" s="85">
        <f t="shared" si="17"/>
        <v>1</v>
      </c>
      <c r="AZ94" s="20">
        <f t="shared" si="18"/>
        <v>1</v>
      </c>
      <c r="BA94" s="20">
        <f t="shared" si="19"/>
        <v>1</v>
      </c>
      <c r="BB94" s="91">
        <f t="shared" si="20"/>
        <v>2265.83</v>
      </c>
      <c r="BC94" s="87">
        <f t="shared" si="21"/>
        <v>18719.98</v>
      </c>
      <c r="BD94" s="92">
        <f t="shared" si="22"/>
        <v>4.733333333</v>
      </c>
      <c r="BE94" s="89" t="str">
        <f t="shared" si="23"/>
        <v>#VALUE!</v>
      </c>
      <c r="BF94" s="90" t="str">
        <f t="shared" si="24"/>
        <v>#VALUE!</v>
      </c>
      <c r="BH94" s="93">
        <f t="shared" si="25"/>
        <v>18719.98</v>
      </c>
      <c r="BI94" s="94">
        <f t="shared" si="26"/>
        <v>1</v>
      </c>
      <c r="BJ94" s="95" t="str">
        <f t="shared" si="27"/>
        <v>#VALUE!</v>
      </c>
      <c r="BK94" s="96" t="str">
        <f t="shared" si="28"/>
        <v>#VALUE!</v>
      </c>
      <c r="BM94" s="97">
        <f t="shared" si="29"/>
        <v>1</v>
      </c>
    </row>
    <row r="95" ht="12.75" customHeight="1">
      <c r="A95" s="65"/>
      <c r="B95" s="66" t="s">
        <v>227</v>
      </c>
      <c r="C95" s="67">
        <v>27832.01</v>
      </c>
      <c r="D95" s="68">
        <v>13.0</v>
      </c>
      <c r="E95" s="67">
        <v>27392.97</v>
      </c>
      <c r="F95" s="68" t="s">
        <v>64</v>
      </c>
      <c r="G95" s="69">
        <v>40430.0</v>
      </c>
      <c r="H95" s="71" t="s">
        <v>57</v>
      </c>
      <c r="I95" s="69">
        <v>40509.0</v>
      </c>
      <c r="J95" s="71">
        <f t="shared" si="1"/>
        <v>2.633333333</v>
      </c>
      <c r="K95" s="72" t="s">
        <v>181</v>
      </c>
      <c r="L95" s="72">
        <v>31567.0</v>
      </c>
      <c r="M95" s="73">
        <v>887.54</v>
      </c>
      <c r="N95" s="73">
        <v>3047.11</v>
      </c>
      <c r="O95" s="73">
        <v>1370.1299999999999</v>
      </c>
      <c r="P95" s="73">
        <v>0.0</v>
      </c>
      <c r="Q95" s="73">
        <f t="shared" si="35"/>
        <v>1130.75</v>
      </c>
      <c r="R95" s="74">
        <f t="shared" si="4"/>
        <v>0.04127883906</v>
      </c>
      <c r="S95" s="74">
        <f t="shared" si="5"/>
        <v>0.9587211609</v>
      </c>
      <c r="T95" s="75"/>
      <c r="V95" s="76"/>
      <c r="W95" s="77"/>
      <c r="X95" s="77"/>
      <c r="Y95" s="77"/>
      <c r="Z95" s="77"/>
      <c r="AA95" s="77"/>
      <c r="AB95" s="78">
        <f t="shared" si="6"/>
        <v>0</v>
      </c>
      <c r="AC95" s="77"/>
      <c r="AD95" s="79"/>
      <c r="AE95" s="80"/>
      <c r="AF95" s="81"/>
      <c r="AG95" s="79"/>
      <c r="AH95" s="80"/>
      <c r="AI95" s="82"/>
      <c r="AJ95" s="82">
        <f t="shared" si="7"/>
        <v>0</v>
      </c>
      <c r="AK95" s="83"/>
      <c r="AL95" s="84">
        <f t="shared" si="8"/>
        <v>0</v>
      </c>
      <c r="AP95" s="85">
        <f t="shared" si="9"/>
        <v>0</v>
      </c>
      <c r="AQ95" s="20">
        <f t="shared" si="10"/>
        <v>1</v>
      </c>
      <c r="AR95" s="20">
        <f t="shared" si="11"/>
        <v>0</v>
      </c>
      <c r="AS95" s="86">
        <f t="shared" si="12"/>
        <v>0</v>
      </c>
      <c r="AT95" s="87">
        <f t="shared" si="13"/>
        <v>0</v>
      </c>
      <c r="AU95" s="88">
        <f t="shared" si="14"/>
        <v>0</v>
      </c>
      <c r="AV95" s="89" t="str">
        <f t="shared" si="15"/>
        <v>#VALUE!</v>
      </c>
      <c r="AW95" s="90">
        <f t="shared" si="16"/>
        <v>0</v>
      </c>
      <c r="AY95" s="85">
        <f t="shared" si="17"/>
        <v>1</v>
      </c>
      <c r="AZ95" s="20">
        <f t="shared" si="18"/>
        <v>1</v>
      </c>
      <c r="BA95" s="20">
        <f t="shared" si="19"/>
        <v>1</v>
      </c>
      <c r="BB95" s="91">
        <f t="shared" si="20"/>
        <v>4417.24</v>
      </c>
      <c r="BC95" s="87">
        <f t="shared" si="21"/>
        <v>27392.97</v>
      </c>
      <c r="BD95" s="92">
        <f t="shared" si="22"/>
        <v>2.633333333</v>
      </c>
      <c r="BE95" s="89" t="str">
        <f t="shared" si="23"/>
        <v>#VALUE!</v>
      </c>
      <c r="BF95" s="90" t="str">
        <f t="shared" si="24"/>
        <v>#VALUE!</v>
      </c>
      <c r="BH95" s="93">
        <f t="shared" si="25"/>
        <v>27392.97</v>
      </c>
      <c r="BI95" s="94">
        <f t="shared" si="26"/>
        <v>1</v>
      </c>
      <c r="BJ95" s="95" t="str">
        <f t="shared" si="27"/>
        <v>#VALUE!</v>
      </c>
      <c r="BK95" s="96" t="str">
        <f t="shared" si="28"/>
        <v>#VALUE!</v>
      </c>
      <c r="BM95" s="97">
        <f t="shared" si="29"/>
        <v>1</v>
      </c>
    </row>
    <row r="96" ht="12.75" customHeight="1">
      <c r="A96" s="65"/>
      <c r="B96" s="66" t="s">
        <v>228</v>
      </c>
      <c r="C96" s="67">
        <v>19570.0</v>
      </c>
      <c r="D96" s="68">
        <v>13.0</v>
      </c>
      <c r="E96" s="67">
        <v>18600.61</v>
      </c>
      <c r="F96" s="68" t="s">
        <v>64</v>
      </c>
      <c r="G96" s="69">
        <v>40431.0</v>
      </c>
      <c r="H96" s="71" t="s">
        <v>57</v>
      </c>
      <c r="I96" s="69">
        <v>40542.0</v>
      </c>
      <c r="J96" s="71">
        <f t="shared" si="1"/>
        <v>3.7</v>
      </c>
      <c r="K96" s="72" t="s">
        <v>181</v>
      </c>
      <c r="L96" s="72">
        <v>29266.71</v>
      </c>
      <c r="M96" s="73">
        <v>115.91</v>
      </c>
      <c r="N96" s="73">
        <v>56.0</v>
      </c>
      <c r="O96" s="73">
        <v>2599.0</v>
      </c>
      <c r="P96" s="73">
        <f t="shared" ref="P96:P119" si="36">IF(L96="N/A",0,IF(L96-E96&gt;0,0,E96-L96))</f>
        <v>0</v>
      </c>
      <c r="Q96" s="73">
        <f t="shared" si="35"/>
        <v>0</v>
      </c>
      <c r="R96" s="74">
        <f t="shared" si="4"/>
        <v>0</v>
      </c>
      <c r="S96" s="74">
        <f t="shared" si="5"/>
        <v>1</v>
      </c>
      <c r="T96" s="75"/>
      <c r="V96" s="76"/>
      <c r="W96" s="77"/>
      <c r="X96" s="77"/>
      <c r="Y96" s="77"/>
      <c r="Z96" s="77"/>
      <c r="AA96" s="77"/>
      <c r="AB96" s="78">
        <f t="shared" si="6"/>
        <v>0</v>
      </c>
      <c r="AC96" s="77"/>
      <c r="AD96" s="79"/>
      <c r="AE96" s="80"/>
      <c r="AF96" s="81"/>
      <c r="AG96" s="79"/>
      <c r="AH96" s="80"/>
      <c r="AI96" s="82"/>
      <c r="AJ96" s="82">
        <f t="shared" si="7"/>
        <v>0</v>
      </c>
      <c r="AK96" s="83"/>
      <c r="AL96" s="84">
        <f t="shared" si="8"/>
        <v>0</v>
      </c>
      <c r="AP96" s="85">
        <f t="shared" si="9"/>
        <v>0</v>
      </c>
      <c r="AQ96" s="20">
        <f t="shared" si="10"/>
        <v>1</v>
      </c>
      <c r="AR96" s="20">
        <f t="shared" si="11"/>
        <v>0</v>
      </c>
      <c r="AS96" s="86">
        <f t="shared" si="12"/>
        <v>0</v>
      </c>
      <c r="AT96" s="87">
        <f t="shared" si="13"/>
        <v>0</v>
      </c>
      <c r="AU96" s="88">
        <f t="shared" si="14"/>
        <v>0</v>
      </c>
      <c r="AV96" s="89" t="str">
        <f t="shared" si="15"/>
        <v>#VALUE!</v>
      </c>
      <c r="AW96" s="90">
        <f t="shared" si="16"/>
        <v>0</v>
      </c>
      <c r="AY96" s="85">
        <f t="shared" si="17"/>
        <v>1</v>
      </c>
      <c r="AZ96" s="20">
        <f t="shared" si="18"/>
        <v>1</v>
      </c>
      <c r="BA96" s="20">
        <f t="shared" si="19"/>
        <v>1</v>
      </c>
      <c r="BB96" s="91">
        <f t="shared" si="20"/>
        <v>2655</v>
      </c>
      <c r="BC96" s="87">
        <f t="shared" si="21"/>
        <v>18600.61</v>
      </c>
      <c r="BD96" s="92">
        <f t="shared" si="22"/>
        <v>3.7</v>
      </c>
      <c r="BE96" s="89" t="str">
        <f t="shared" si="23"/>
        <v>#VALUE!</v>
      </c>
      <c r="BF96" s="90" t="str">
        <f t="shared" si="24"/>
        <v>#VALUE!</v>
      </c>
      <c r="BH96" s="93">
        <f t="shared" si="25"/>
        <v>18600.61</v>
      </c>
      <c r="BI96" s="94">
        <f t="shared" si="26"/>
        <v>1</v>
      </c>
      <c r="BJ96" s="95" t="str">
        <f t="shared" si="27"/>
        <v>#VALUE!</v>
      </c>
      <c r="BK96" s="96" t="str">
        <f t="shared" si="28"/>
        <v>#VALUE!</v>
      </c>
      <c r="BM96" s="97">
        <f t="shared" si="29"/>
        <v>1</v>
      </c>
    </row>
    <row r="97" ht="12.75" customHeight="1">
      <c r="A97" s="65"/>
      <c r="B97" s="66" t="s">
        <v>229</v>
      </c>
      <c r="C97" s="67">
        <v>50000.0</v>
      </c>
      <c r="D97" s="68">
        <v>13.0</v>
      </c>
      <c r="E97" s="67">
        <v>48132.99</v>
      </c>
      <c r="F97" s="68" t="s">
        <v>64</v>
      </c>
      <c r="G97" s="69">
        <v>40483.0</v>
      </c>
      <c r="H97" s="71" t="s">
        <v>57</v>
      </c>
      <c r="I97" s="69">
        <v>40705.0</v>
      </c>
      <c r="J97" s="71">
        <f t="shared" si="1"/>
        <v>7.4</v>
      </c>
      <c r="K97" s="72" t="s">
        <v>69</v>
      </c>
      <c r="L97" s="72">
        <v>64125.0</v>
      </c>
      <c r="M97" s="73">
        <v>4039.94</v>
      </c>
      <c r="N97" s="73"/>
      <c r="O97" s="73">
        <v>46.41</v>
      </c>
      <c r="P97" s="73">
        <f t="shared" si="36"/>
        <v>0</v>
      </c>
      <c r="Q97" s="73">
        <f t="shared" si="35"/>
        <v>0</v>
      </c>
      <c r="R97" s="74">
        <f t="shared" si="4"/>
        <v>0</v>
      </c>
      <c r="S97" s="74">
        <f t="shared" si="5"/>
        <v>1</v>
      </c>
      <c r="T97" s="75"/>
      <c r="V97" s="76"/>
      <c r="W97" s="77"/>
      <c r="X97" s="77"/>
      <c r="Y97" s="77"/>
      <c r="Z97" s="77"/>
      <c r="AA97" s="77"/>
      <c r="AB97" s="78">
        <f t="shared" si="6"/>
        <v>0</v>
      </c>
      <c r="AC97" s="77"/>
      <c r="AD97" s="79"/>
      <c r="AE97" s="80"/>
      <c r="AF97" s="81"/>
      <c r="AG97" s="79"/>
      <c r="AH97" s="80"/>
      <c r="AI97" s="82"/>
      <c r="AJ97" s="82">
        <f t="shared" si="7"/>
        <v>0</v>
      </c>
      <c r="AK97" s="83"/>
      <c r="AL97" s="84">
        <f t="shared" si="8"/>
        <v>0</v>
      </c>
      <c r="AP97" s="85">
        <f t="shared" si="9"/>
        <v>0</v>
      </c>
      <c r="AQ97" s="20">
        <f t="shared" si="10"/>
        <v>1</v>
      </c>
      <c r="AR97" s="20">
        <f t="shared" si="11"/>
        <v>0</v>
      </c>
      <c r="AS97" s="86">
        <f t="shared" si="12"/>
        <v>0</v>
      </c>
      <c r="AT97" s="87">
        <f t="shared" si="13"/>
        <v>0</v>
      </c>
      <c r="AU97" s="88">
        <f t="shared" si="14"/>
        <v>0</v>
      </c>
      <c r="AV97" s="89" t="str">
        <f t="shared" si="15"/>
        <v>#VALUE!</v>
      </c>
      <c r="AW97" s="90">
        <f t="shared" si="16"/>
        <v>0</v>
      </c>
      <c r="AY97" s="85">
        <f t="shared" si="17"/>
        <v>1</v>
      </c>
      <c r="AZ97" s="20">
        <f t="shared" si="18"/>
        <v>1</v>
      </c>
      <c r="BA97" s="20">
        <f t="shared" si="19"/>
        <v>1</v>
      </c>
      <c r="BB97" s="91">
        <f t="shared" si="20"/>
        <v>46.41</v>
      </c>
      <c r="BC97" s="87">
        <f t="shared" si="21"/>
        <v>48132.99</v>
      </c>
      <c r="BD97" s="92">
        <f t="shared" si="22"/>
        <v>7.4</v>
      </c>
      <c r="BE97" s="89" t="str">
        <f t="shared" si="23"/>
        <v>#VALUE!</v>
      </c>
      <c r="BF97" s="90" t="str">
        <f t="shared" si="24"/>
        <v>#VALUE!</v>
      </c>
      <c r="BH97" s="93">
        <f t="shared" si="25"/>
        <v>48132.99</v>
      </c>
      <c r="BI97" s="94">
        <f t="shared" si="26"/>
        <v>1</v>
      </c>
      <c r="BJ97" s="95" t="str">
        <f t="shared" si="27"/>
        <v>#VALUE!</v>
      </c>
      <c r="BK97" s="96" t="str">
        <f t="shared" si="28"/>
        <v>#VALUE!</v>
      </c>
      <c r="BM97" s="97">
        <f t="shared" si="29"/>
        <v>1</v>
      </c>
    </row>
    <row r="98" ht="12.75" customHeight="1">
      <c r="A98" s="65"/>
      <c r="B98" s="66" t="s">
        <v>230</v>
      </c>
      <c r="C98" s="67">
        <v>14582.5</v>
      </c>
      <c r="D98" s="68">
        <v>13.0</v>
      </c>
      <c r="E98" s="67">
        <f>12829.76+377.72</f>
        <v>13207.48</v>
      </c>
      <c r="F98" s="68" t="s">
        <v>64</v>
      </c>
      <c r="G98" s="69">
        <v>40483.0</v>
      </c>
      <c r="H98" s="71" t="s">
        <v>57</v>
      </c>
      <c r="I98" s="69">
        <v>40786.0</v>
      </c>
      <c r="J98" s="71">
        <f t="shared" si="1"/>
        <v>10.1</v>
      </c>
      <c r="K98" s="72" t="s">
        <v>231</v>
      </c>
      <c r="L98" s="72">
        <v>21150.0</v>
      </c>
      <c r="M98" s="73">
        <v>43.55</v>
      </c>
      <c r="N98" s="73">
        <v>0.0</v>
      </c>
      <c r="O98" s="73">
        <v>4866.8</v>
      </c>
      <c r="P98" s="73">
        <f t="shared" si="36"/>
        <v>0</v>
      </c>
      <c r="Q98" s="73">
        <f t="shared" si="35"/>
        <v>0</v>
      </c>
      <c r="R98" s="74">
        <f t="shared" si="4"/>
        <v>0</v>
      </c>
      <c r="S98" s="74">
        <f t="shared" si="5"/>
        <v>1</v>
      </c>
      <c r="T98" s="75"/>
      <c r="V98" s="76"/>
      <c r="W98" s="77"/>
      <c r="X98" s="77"/>
      <c r="Y98" s="77"/>
      <c r="Z98" s="77"/>
      <c r="AA98" s="77"/>
      <c r="AB98" s="78">
        <f t="shared" si="6"/>
        <v>0</v>
      </c>
      <c r="AC98" s="77"/>
      <c r="AD98" s="79"/>
      <c r="AE98" s="80"/>
      <c r="AF98" s="81"/>
      <c r="AG98" s="79"/>
      <c r="AH98" s="80"/>
      <c r="AI98" s="82"/>
      <c r="AJ98" s="82">
        <f t="shared" si="7"/>
        <v>0</v>
      </c>
      <c r="AK98" s="83"/>
      <c r="AL98" s="84">
        <f t="shared" si="8"/>
        <v>0</v>
      </c>
      <c r="AP98" s="85">
        <f t="shared" si="9"/>
        <v>0</v>
      </c>
      <c r="AQ98" s="20">
        <f t="shared" si="10"/>
        <v>1</v>
      </c>
      <c r="AR98" s="20">
        <f t="shared" si="11"/>
        <v>0</v>
      </c>
      <c r="AS98" s="86">
        <f t="shared" si="12"/>
        <v>0</v>
      </c>
      <c r="AT98" s="87">
        <f t="shared" si="13"/>
        <v>0</v>
      </c>
      <c r="AU98" s="88">
        <f t="shared" si="14"/>
        <v>0</v>
      </c>
      <c r="AV98" s="89" t="str">
        <f t="shared" si="15"/>
        <v>#VALUE!</v>
      </c>
      <c r="AW98" s="90">
        <f t="shared" si="16"/>
        <v>0</v>
      </c>
      <c r="AY98" s="85">
        <f t="shared" si="17"/>
        <v>1</v>
      </c>
      <c r="AZ98" s="20">
        <f t="shared" si="18"/>
        <v>1</v>
      </c>
      <c r="BA98" s="20">
        <f t="shared" si="19"/>
        <v>1</v>
      </c>
      <c r="BB98" s="91">
        <f t="shared" si="20"/>
        <v>4866.8</v>
      </c>
      <c r="BC98" s="87">
        <f t="shared" si="21"/>
        <v>13207.48</v>
      </c>
      <c r="BD98" s="92">
        <f t="shared" si="22"/>
        <v>10.1</v>
      </c>
      <c r="BE98" s="89" t="str">
        <f t="shared" si="23"/>
        <v>#VALUE!</v>
      </c>
      <c r="BF98" s="90" t="str">
        <f t="shared" si="24"/>
        <v>#VALUE!</v>
      </c>
      <c r="BH98" s="93">
        <f t="shared" si="25"/>
        <v>13207.48</v>
      </c>
      <c r="BI98" s="94">
        <f t="shared" si="26"/>
        <v>1</v>
      </c>
      <c r="BJ98" s="95" t="str">
        <f t="shared" si="27"/>
        <v>#VALUE!</v>
      </c>
      <c r="BK98" s="96" t="str">
        <f t="shared" si="28"/>
        <v>#VALUE!</v>
      </c>
      <c r="BM98" s="97">
        <f t="shared" si="29"/>
        <v>1</v>
      </c>
    </row>
    <row r="99" ht="12.75" customHeight="1">
      <c r="A99" s="65"/>
      <c r="B99" s="66" t="s">
        <v>232</v>
      </c>
      <c r="C99" s="67">
        <v>15855.5</v>
      </c>
      <c r="D99" s="68">
        <v>13.0</v>
      </c>
      <c r="E99" s="67">
        <v>13470.2</v>
      </c>
      <c r="F99" s="68" t="s">
        <v>64</v>
      </c>
      <c r="G99" s="69">
        <v>40505.0</v>
      </c>
      <c r="H99" s="71" t="s">
        <v>57</v>
      </c>
      <c r="I99" s="69">
        <v>40858.0</v>
      </c>
      <c r="J99" s="71">
        <f t="shared" si="1"/>
        <v>11.76666667</v>
      </c>
      <c r="K99" s="72" t="s">
        <v>233</v>
      </c>
      <c r="L99" s="72">
        <v>26000.0</v>
      </c>
      <c r="M99" s="73">
        <v>1581.6</v>
      </c>
      <c r="N99" s="73"/>
      <c r="O99" s="73">
        <v>4422.66</v>
      </c>
      <c r="P99" s="73">
        <f t="shared" si="36"/>
        <v>0</v>
      </c>
      <c r="Q99" s="73">
        <f t="shared" si="35"/>
        <v>0</v>
      </c>
      <c r="R99" s="74">
        <f t="shared" si="4"/>
        <v>0</v>
      </c>
      <c r="S99" s="74">
        <f t="shared" si="5"/>
        <v>1</v>
      </c>
      <c r="T99" s="75"/>
      <c r="V99" s="76"/>
      <c r="W99" s="77"/>
      <c r="X99" s="77"/>
      <c r="Y99" s="77"/>
      <c r="Z99" s="77"/>
      <c r="AA99" s="77"/>
      <c r="AB99" s="78">
        <f t="shared" si="6"/>
        <v>0</v>
      </c>
      <c r="AC99" s="77"/>
      <c r="AD99" s="79"/>
      <c r="AE99" s="80"/>
      <c r="AF99" s="81"/>
      <c r="AG99" s="79"/>
      <c r="AH99" s="80"/>
      <c r="AI99" s="82"/>
      <c r="AJ99" s="82">
        <f t="shared" si="7"/>
        <v>0</v>
      </c>
      <c r="AK99" s="83"/>
      <c r="AL99" s="84">
        <f t="shared" si="8"/>
        <v>0</v>
      </c>
      <c r="AP99" s="85">
        <f t="shared" si="9"/>
        <v>0</v>
      </c>
      <c r="AQ99" s="20">
        <f t="shared" si="10"/>
        <v>1</v>
      </c>
      <c r="AR99" s="20">
        <f t="shared" si="11"/>
        <v>0</v>
      </c>
      <c r="AS99" s="86">
        <f t="shared" si="12"/>
        <v>0</v>
      </c>
      <c r="AT99" s="87">
        <f t="shared" si="13"/>
        <v>0</v>
      </c>
      <c r="AU99" s="88">
        <f t="shared" si="14"/>
        <v>0</v>
      </c>
      <c r="AV99" s="89" t="str">
        <f t="shared" si="15"/>
        <v>#VALUE!</v>
      </c>
      <c r="AW99" s="90">
        <f t="shared" si="16"/>
        <v>0</v>
      </c>
      <c r="AY99" s="85">
        <f t="shared" si="17"/>
        <v>1</v>
      </c>
      <c r="AZ99" s="20">
        <f t="shared" si="18"/>
        <v>1</v>
      </c>
      <c r="BA99" s="20">
        <f t="shared" si="19"/>
        <v>1</v>
      </c>
      <c r="BB99" s="91">
        <f t="shared" si="20"/>
        <v>4422.66</v>
      </c>
      <c r="BC99" s="87">
        <f t="shared" si="21"/>
        <v>13470.2</v>
      </c>
      <c r="BD99" s="92">
        <f t="shared" si="22"/>
        <v>11.76666667</v>
      </c>
      <c r="BE99" s="89" t="str">
        <f t="shared" si="23"/>
        <v>#VALUE!</v>
      </c>
      <c r="BF99" s="90" t="str">
        <f t="shared" si="24"/>
        <v>#VALUE!</v>
      </c>
      <c r="BH99" s="93">
        <f t="shared" si="25"/>
        <v>13470.2</v>
      </c>
      <c r="BI99" s="94">
        <f t="shared" si="26"/>
        <v>1</v>
      </c>
      <c r="BJ99" s="95" t="str">
        <f t="shared" si="27"/>
        <v>#VALUE!</v>
      </c>
      <c r="BK99" s="96" t="str">
        <f t="shared" si="28"/>
        <v>#VALUE!</v>
      </c>
      <c r="BM99" s="97">
        <f t="shared" si="29"/>
        <v>1</v>
      </c>
    </row>
    <row r="100" ht="12.75" customHeight="1">
      <c r="A100" s="65"/>
      <c r="B100" s="66" t="s">
        <v>234</v>
      </c>
      <c r="C100" s="67">
        <v>16320.0</v>
      </c>
      <c r="D100" s="68">
        <v>12.0</v>
      </c>
      <c r="E100" s="67">
        <v>14635.99</v>
      </c>
      <c r="F100" s="68" t="s">
        <v>64</v>
      </c>
      <c r="G100" s="69">
        <v>40543.0</v>
      </c>
      <c r="H100" s="71" t="s">
        <v>57</v>
      </c>
      <c r="I100" s="69">
        <v>40705.0</v>
      </c>
      <c r="J100" s="71">
        <f t="shared" si="1"/>
        <v>5.4</v>
      </c>
      <c r="K100" s="72" t="s">
        <v>181</v>
      </c>
      <c r="L100" s="72">
        <v>30000.0</v>
      </c>
      <c r="M100" s="73">
        <v>331.11</v>
      </c>
      <c r="N100" s="73"/>
      <c r="O100" s="73">
        <v>180.92</v>
      </c>
      <c r="P100" s="73">
        <f t="shared" si="36"/>
        <v>0</v>
      </c>
      <c r="Q100" s="73">
        <f t="shared" si="35"/>
        <v>0</v>
      </c>
      <c r="R100" s="74">
        <f t="shared" si="4"/>
        <v>0</v>
      </c>
      <c r="S100" s="74">
        <f t="shared" si="5"/>
        <v>1</v>
      </c>
      <c r="T100" s="75"/>
      <c r="V100" s="76"/>
      <c r="W100" s="77"/>
      <c r="X100" s="77"/>
      <c r="Y100" s="77"/>
      <c r="Z100" s="77"/>
      <c r="AA100" s="77"/>
      <c r="AB100" s="78">
        <f t="shared" si="6"/>
        <v>0</v>
      </c>
      <c r="AC100" s="77"/>
      <c r="AD100" s="79"/>
      <c r="AE100" s="80"/>
      <c r="AF100" s="81"/>
      <c r="AG100" s="79"/>
      <c r="AH100" s="80"/>
      <c r="AI100" s="82"/>
      <c r="AJ100" s="82">
        <f t="shared" si="7"/>
        <v>0</v>
      </c>
      <c r="AK100" s="83"/>
      <c r="AL100" s="84">
        <f t="shared" si="8"/>
        <v>0</v>
      </c>
      <c r="AP100" s="85">
        <f t="shared" si="9"/>
        <v>0</v>
      </c>
      <c r="AQ100" s="20">
        <f t="shared" si="10"/>
        <v>1</v>
      </c>
      <c r="AR100" s="20">
        <f t="shared" si="11"/>
        <v>0</v>
      </c>
      <c r="AS100" s="86">
        <f t="shared" si="12"/>
        <v>0</v>
      </c>
      <c r="AT100" s="87">
        <f t="shared" si="13"/>
        <v>0</v>
      </c>
      <c r="AU100" s="88">
        <f t="shared" si="14"/>
        <v>0</v>
      </c>
      <c r="AV100" s="89" t="str">
        <f t="shared" si="15"/>
        <v>#VALUE!</v>
      </c>
      <c r="AW100" s="90">
        <f t="shared" si="16"/>
        <v>0</v>
      </c>
      <c r="AY100" s="85">
        <f t="shared" si="17"/>
        <v>1</v>
      </c>
      <c r="AZ100" s="20">
        <f t="shared" si="18"/>
        <v>1</v>
      </c>
      <c r="BA100" s="20">
        <f t="shared" si="19"/>
        <v>1</v>
      </c>
      <c r="BB100" s="91">
        <f t="shared" si="20"/>
        <v>180.92</v>
      </c>
      <c r="BC100" s="87">
        <f t="shared" si="21"/>
        <v>14635.99</v>
      </c>
      <c r="BD100" s="92">
        <f t="shared" si="22"/>
        <v>5.4</v>
      </c>
      <c r="BE100" s="89" t="str">
        <f t="shared" si="23"/>
        <v>#VALUE!</v>
      </c>
      <c r="BF100" s="90" t="str">
        <f t="shared" si="24"/>
        <v>#VALUE!</v>
      </c>
      <c r="BH100" s="93">
        <f t="shared" si="25"/>
        <v>14635.99</v>
      </c>
      <c r="BI100" s="94">
        <f t="shared" si="26"/>
        <v>1</v>
      </c>
      <c r="BJ100" s="95" t="str">
        <f t="shared" si="27"/>
        <v>#VALUE!</v>
      </c>
      <c r="BK100" s="96" t="str">
        <f t="shared" si="28"/>
        <v>#VALUE!</v>
      </c>
      <c r="BM100" s="97">
        <f t="shared" si="29"/>
        <v>1</v>
      </c>
    </row>
    <row r="101" ht="12.75" customHeight="1">
      <c r="A101" s="65"/>
      <c r="B101" s="66" t="s">
        <v>235</v>
      </c>
      <c r="C101" s="67">
        <v>15085.98</v>
      </c>
      <c r="D101" s="68">
        <v>13.0</v>
      </c>
      <c r="E101" s="67">
        <f>12981.99+1474.58</f>
        <v>14456.57</v>
      </c>
      <c r="F101" s="68" t="s">
        <v>64</v>
      </c>
      <c r="G101" s="69">
        <v>40543.0</v>
      </c>
      <c r="H101" s="71" t="s">
        <v>57</v>
      </c>
      <c r="I101" s="69">
        <v>40735.0</v>
      </c>
      <c r="J101" s="71">
        <f t="shared" si="1"/>
        <v>6.4</v>
      </c>
      <c r="K101" s="72" t="s">
        <v>181</v>
      </c>
      <c r="L101" s="72">
        <v>24300.0</v>
      </c>
      <c r="M101" s="73">
        <v>0.0</v>
      </c>
      <c r="N101" s="73"/>
      <c r="O101" s="73">
        <v>1975.39</v>
      </c>
      <c r="P101" s="73">
        <f t="shared" si="36"/>
        <v>0</v>
      </c>
      <c r="Q101" s="73">
        <f t="shared" si="35"/>
        <v>0</v>
      </c>
      <c r="R101" s="74">
        <f t="shared" si="4"/>
        <v>0</v>
      </c>
      <c r="S101" s="74">
        <f t="shared" si="5"/>
        <v>1</v>
      </c>
      <c r="T101" s="75"/>
      <c r="V101" s="76"/>
      <c r="W101" s="77"/>
      <c r="X101" s="77"/>
      <c r="Y101" s="77"/>
      <c r="Z101" s="77"/>
      <c r="AA101" s="77"/>
      <c r="AB101" s="78">
        <f t="shared" si="6"/>
        <v>0</v>
      </c>
      <c r="AC101" s="77"/>
      <c r="AD101" s="79"/>
      <c r="AE101" s="80"/>
      <c r="AF101" s="81"/>
      <c r="AG101" s="79"/>
      <c r="AH101" s="80"/>
      <c r="AI101" s="82"/>
      <c r="AJ101" s="82">
        <f t="shared" si="7"/>
        <v>0</v>
      </c>
      <c r="AK101" s="83"/>
      <c r="AL101" s="84">
        <f t="shared" si="8"/>
        <v>0</v>
      </c>
      <c r="AP101" s="85">
        <f t="shared" si="9"/>
        <v>0</v>
      </c>
      <c r="AQ101" s="20">
        <f t="shared" si="10"/>
        <v>1</v>
      </c>
      <c r="AR101" s="20">
        <f t="shared" si="11"/>
        <v>0</v>
      </c>
      <c r="AS101" s="86">
        <f t="shared" si="12"/>
        <v>0</v>
      </c>
      <c r="AT101" s="87">
        <f t="shared" si="13"/>
        <v>0</v>
      </c>
      <c r="AU101" s="88">
        <f t="shared" si="14"/>
        <v>0</v>
      </c>
      <c r="AV101" s="89" t="str">
        <f t="shared" si="15"/>
        <v>#VALUE!</v>
      </c>
      <c r="AW101" s="90">
        <f t="shared" si="16"/>
        <v>0</v>
      </c>
      <c r="AY101" s="85">
        <f t="shared" si="17"/>
        <v>1</v>
      </c>
      <c r="AZ101" s="20">
        <f t="shared" si="18"/>
        <v>1</v>
      </c>
      <c r="BA101" s="20">
        <f t="shared" si="19"/>
        <v>1</v>
      </c>
      <c r="BB101" s="91">
        <f t="shared" si="20"/>
        <v>1975.39</v>
      </c>
      <c r="BC101" s="87">
        <f t="shared" si="21"/>
        <v>14456.57</v>
      </c>
      <c r="BD101" s="92">
        <f t="shared" si="22"/>
        <v>6.4</v>
      </c>
      <c r="BE101" s="89" t="str">
        <f t="shared" si="23"/>
        <v>#VALUE!</v>
      </c>
      <c r="BF101" s="90" t="str">
        <f t="shared" si="24"/>
        <v>#VALUE!</v>
      </c>
      <c r="BH101" s="93">
        <f t="shared" si="25"/>
        <v>14456.57</v>
      </c>
      <c r="BI101" s="94">
        <f t="shared" si="26"/>
        <v>1</v>
      </c>
      <c r="BJ101" s="95" t="str">
        <f t="shared" si="27"/>
        <v>#VALUE!</v>
      </c>
      <c r="BK101" s="96" t="str">
        <f t="shared" si="28"/>
        <v>#VALUE!</v>
      </c>
      <c r="BM101" s="97">
        <f t="shared" si="29"/>
        <v>1</v>
      </c>
    </row>
    <row r="102" ht="12.75" customHeight="1">
      <c r="A102" s="65"/>
      <c r="B102" s="66" t="s">
        <v>236</v>
      </c>
      <c r="C102" s="67">
        <v>19130.0</v>
      </c>
      <c r="D102" s="68">
        <v>6.0</v>
      </c>
      <c r="E102" s="67">
        <v>18428.66</v>
      </c>
      <c r="F102" s="68" t="s">
        <v>56</v>
      </c>
      <c r="G102" s="69">
        <v>40574.0</v>
      </c>
      <c r="H102" s="71" t="s">
        <v>57</v>
      </c>
      <c r="I102" s="69">
        <v>40905.0</v>
      </c>
      <c r="J102" s="71">
        <f t="shared" si="1"/>
        <v>11.03333333</v>
      </c>
      <c r="K102" s="72" t="s">
        <v>181</v>
      </c>
      <c r="L102" s="72">
        <v>28500.0</v>
      </c>
      <c r="M102" s="73">
        <v>5720.44</v>
      </c>
      <c r="N102" s="73">
        <v>3515.0899999999997</v>
      </c>
      <c r="O102" s="73">
        <v>704.8</v>
      </c>
      <c r="P102" s="73">
        <f t="shared" si="36"/>
        <v>0</v>
      </c>
      <c r="Q102" s="73">
        <f t="shared" si="35"/>
        <v>0</v>
      </c>
      <c r="R102" s="74">
        <f t="shared" si="4"/>
        <v>0</v>
      </c>
      <c r="S102" s="74">
        <f t="shared" si="5"/>
        <v>1</v>
      </c>
      <c r="T102" s="75"/>
      <c r="V102" s="76"/>
      <c r="W102" s="77"/>
      <c r="X102" s="77"/>
      <c r="Y102" s="77"/>
      <c r="Z102" s="77"/>
      <c r="AA102" s="77"/>
      <c r="AB102" s="78">
        <f t="shared" si="6"/>
        <v>0</v>
      </c>
      <c r="AC102" s="77"/>
      <c r="AD102" s="79"/>
      <c r="AE102" s="80"/>
      <c r="AF102" s="81"/>
      <c r="AG102" s="79"/>
      <c r="AH102" s="80"/>
      <c r="AI102" s="82"/>
      <c r="AJ102" s="82">
        <f t="shared" si="7"/>
        <v>0</v>
      </c>
      <c r="AK102" s="83"/>
      <c r="AL102" s="84">
        <f t="shared" si="8"/>
        <v>0</v>
      </c>
      <c r="AP102" s="85">
        <f t="shared" si="9"/>
        <v>1</v>
      </c>
      <c r="AQ102" s="20">
        <f t="shared" si="10"/>
        <v>1</v>
      </c>
      <c r="AR102" s="20">
        <f t="shared" si="11"/>
        <v>1</v>
      </c>
      <c r="AS102" s="86">
        <f t="shared" si="12"/>
        <v>4219.89</v>
      </c>
      <c r="AT102" s="87">
        <f t="shared" si="13"/>
        <v>18428.66</v>
      </c>
      <c r="AU102" s="88">
        <f t="shared" si="14"/>
        <v>11.03333333</v>
      </c>
      <c r="AV102" s="89" t="str">
        <f t="shared" si="15"/>
        <v>#VALUE!</v>
      </c>
      <c r="AW102" s="90" t="str">
        <f t="shared" si="16"/>
        <v>#VALUE!</v>
      </c>
      <c r="AY102" s="85">
        <f t="shared" si="17"/>
        <v>0</v>
      </c>
      <c r="AZ102" s="20">
        <f t="shared" si="18"/>
        <v>1</v>
      </c>
      <c r="BA102" s="20">
        <f t="shared" si="19"/>
        <v>0</v>
      </c>
      <c r="BB102" s="91">
        <f t="shared" si="20"/>
        <v>0</v>
      </c>
      <c r="BC102" s="87">
        <f t="shared" si="21"/>
        <v>0</v>
      </c>
      <c r="BD102" s="92">
        <f t="shared" si="22"/>
        <v>0</v>
      </c>
      <c r="BE102" s="89" t="str">
        <f t="shared" si="23"/>
        <v>#VALUE!</v>
      </c>
      <c r="BF102" s="90">
        <f t="shared" si="24"/>
        <v>0</v>
      </c>
      <c r="BH102" s="93">
        <f t="shared" si="25"/>
        <v>18428.66</v>
      </c>
      <c r="BI102" s="94">
        <f t="shared" si="26"/>
        <v>1</v>
      </c>
      <c r="BJ102" s="95" t="str">
        <f t="shared" si="27"/>
        <v>#VALUE!</v>
      </c>
      <c r="BK102" s="96" t="str">
        <f t="shared" si="28"/>
        <v>#VALUE!</v>
      </c>
      <c r="BM102" s="97">
        <f t="shared" si="29"/>
        <v>1</v>
      </c>
    </row>
    <row r="103" ht="12.75" customHeight="1">
      <c r="A103" s="65"/>
      <c r="B103" s="66" t="s">
        <v>237</v>
      </c>
      <c r="C103" s="67">
        <v>20400.0</v>
      </c>
      <c r="D103" s="68">
        <v>13.0</v>
      </c>
      <c r="E103" s="67">
        <f>14099.7+5428.88</f>
        <v>19528.58</v>
      </c>
      <c r="F103" s="68" t="s">
        <v>64</v>
      </c>
      <c r="G103" s="69">
        <v>40613.0</v>
      </c>
      <c r="H103" s="71" t="s">
        <v>57</v>
      </c>
      <c r="I103" s="69">
        <v>40704.0</v>
      </c>
      <c r="J103" s="71">
        <f t="shared" si="1"/>
        <v>3.033333333</v>
      </c>
      <c r="K103" s="72" t="s">
        <v>181</v>
      </c>
      <c r="L103" s="72">
        <v>28500.0</v>
      </c>
      <c r="M103" s="73">
        <v>425.58</v>
      </c>
      <c r="N103" s="73">
        <v>0.0</v>
      </c>
      <c r="O103" s="73">
        <v>1668.0</v>
      </c>
      <c r="P103" s="73">
        <f t="shared" si="36"/>
        <v>0</v>
      </c>
      <c r="Q103" s="73">
        <f t="shared" si="35"/>
        <v>0</v>
      </c>
      <c r="R103" s="74">
        <f t="shared" si="4"/>
        <v>0</v>
      </c>
      <c r="S103" s="74">
        <f t="shared" si="5"/>
        <v>1</v>
      </c>
      <c r="T103" s="75"/>
      <c r="V103" s="76"/>
      <c r="W103" s="77"/>
      <c r="X103" s="77"/>
      <c r="Y103" s="77"/>
      <c r="Z103" s="77"/>
      <c r="AA103" s="77"/>
      <c r="AB103" s="78">
        <f t="shared" si="6"/>
        <v>0</v>
      </c>
      <c r="AC103" s="77"/>
      <c r="AD103" s="79"/>
      <c r="AE103" s="80"/>
      <c r="AF103" s="81"/>
      <c r="AG103" s="79"/>
      <c r="AH103" s="80"/>
      <c r="AI103" s="82"/>
      <c r="AJ103" s="82">
        <f t="shared" si="7"/>
        <v>0</v>
      </c>
      <c r="AK103" s="83"/>
      <c r="AL103" s="84">
        <f t="shared" si="8"/>
        <v>0</v>
      </c>
      <c r="AP103" s="85">
        <f t="shared" si="9"/>
        <v>0</v>
      </c>
      <c r="AQ103" s="20">
        <f t="shared" si="10"/>
        <v>1</v>
      </c>
      <c r="AR103" s="20">
        <f t="shared" si="11"/>
        <v>0</v>
      </c>
      <c r="AS103" s="86">
        <f t="shared" si="12"/>
        <v>0</v>
      </c>
      <c r="AT103" s="87">
        <f t="shared" si="13"/>
        <v>0</v>
      </c>
      <c r="AU103" s="88">
        <f t="shared" si="14"/>
        <v>0</v>
      </c>
      <c r="AV103" s="89" t="str">
        <f t="shared" si="15"/>
        <v>#VALUE!</v>
      </c>
      <c r="AW103" s="90">
        <f t="shared" si="16"/>
        <v>0</v>
      </c>
      <c r="AY103" s="85">
        <f t="shared" si="17"/>
        <v>1</v>
      </c>
      <c r="AZ103" s="20">
        <f t="shared" si="18"/>
        <v>1</v>
      </c>
      <c r="BA103" s="20">
        <f t="shared" si="19"/>
        <v>1</v>
      </c>
      <c r="BB103" s="91">
        <f t="shared" si="20"/>
        <v>1668</v>
      </c>
      <c r="BC103" s="87">
        <f t="shared" si="21"/>
        <v>19528.58</v>
      </c>
      <c r="BD103" s="92">
        <f t="shared" si="22"/>
        <v>3.033333333</v>
      </c>
      <c r="BE103" s="89" t="str">
        <f t="shared" si="23"/>
        <v>#VALUE!</v>
      </c>
      <c r="BF103" s="90" t="str">
        <f t="shared" si="24"/>
        <v>#VALUE!</v>
      </c>
      <c r="BH103" s="93">
        <f t="shared" si="25"/>
        <v>19528.58</v>
      </c>
      <c r="BI103" s="94">
        <f t="shared" si="26"/>
        <v>1</v>
      </c>
      <c r="BJ103" s="95" t="str">
        <f t="shared" si="27"/>
        <v>#VALUE!</v>
      </c>
      <c r="BK103" s="96" t="str">
        <f t="shared" si="28"/>
        <v>#VALUE!</v>
      </c>
      <c r="BM103" s="97">
        <f t="shared" si="29"/>
        <v>1</v>
      </c>
    </row>
    <row r="104" ht="12.75" customHeight="1">
      <c r="A104" s="65"/>
      <c r="B104" s="66" t="s">
        <v>238</v>
      </c>
      <c r="C104" s="67">
        <v>14230.0</v>
      </c>
      <c r="D104" s="68">
        <v>13.0</v>
      </c>
      <c r="E104" s="67">
        <v>11099.43</v>
      </c>
      <c r="F104" s="68" t="s">
        <v>64</v>
      </c>
      <c r="G104" s="69">
        <v>40613.0</v>
      </c>
      <c r="H104" s="71" t="s">
        <v>57</v>
      </c>
      <c r="I104" s="69">
        <v>40858.0</v>
      </c>
      <c r="J104" s="71">
        <f t="shared" si="1"/>
        <v>8.166666667</v>
      </c>
      <c r="K104" s="72" t="s">
        <v>181</v>
      </c>
      <c r="L104" s="72">
        <v>30000.0</v>
      </c>
      <c r="M104" s="73">
        <v>510.87</v>
      </c>
      <c r="N104" s="73">
        <v>150.0</v>
      </c>
      <c r="O104" s="73">
        <v>70.0</v>
      </c>
      <c r="P104" s="73">
        <f t="shared" si="36"/>
        <v>0</v>
      </c>
      <c r="Q104" s="73">
        <f t="shared" si="35"/>
        <v>0</v>
      </c>
      <c r="R104" s="74">
        <f t="shared" si="4"/>
        <v>0</v>
      </c>
      <c r="S104" s="74">
        <f t="shared" si="5"/>
        <v>1</v>
      </c>
      <c r="T104" s="75"/>
      <c r="V104" s="76"/>
      <c r="W104" s="77"/>
      <c r="X104" s="77"/>
      <c r="Y104" s="77"/>
      <c r="Z104" s="77"/>
      <c r="AA104" s="77"/>
      <c r="AB104" s="78">
        <f t="shared" si="6"/>
        <v>0</v>
      </c>
      <c r="AC104" s="77"/>
      <c r="AD104" s="79"/>
      <c r="AE104" s="80"/>
      <c r="AF104" s="81"/>
      <c r="AG104" s="79"/>
      <c r="AH104" s="80"/>
      <c r="AI104" s="82"/>
      <c r="AJ104" s="82">
        <f t="shared" si="7"/>
        <v>0</v>
      </c>
      <c r="AK104" s="83"/>
      <c r="AL104" s="84">
        <f t="shared" si="8"/>
        <v>0</v>
      </c>
      <c r="AP104" s="85">
        <f t="shared" si="9"/>
        <v>0</v>
      </c>
      <c r="AQ104" s="20">
        <f t="shared" si="10"/>
        <v>1</v>
      </c>
      <c r="AR104" s="20">
        <f t="shared" si="11"/>
        <v>0</v>
      </c>
      <c r="AS104" s="86">
        <f t="shared" si="12"/>
        <v>0</v>
      </c>
      <c r="AT104" s="87">
        <f t="shared" si="13"/>
        <v>0</v>
      </c>
      <c r="AU104" s="88">
        <f t="shared" si="14"/>
        <v>0</v>
      </c>
      <c r="AV104" s="89" t="str">
        <f t="shared" si="15"/>
        <v>#VALUE!</v>
      </c>
      <c r="AW104" s="90">
        <f t="shared" si="16"/>
        <v>0</v>
      </c>
      <c r="AY104" s="85">
        <f t="shared" si="17"/>
        <v>1</v>
      </c>
      <c r="AZ104" s="20">
        <f t="shared" si="18"/>
        <v>1</v>
      </c>
      <c r="BA104" s="20">
        <f t="shared" si="19"/>
        <v>1</v>
      </c>
      <c r="BB104" s="91">
        <f t="shared" si="20"/>
        <v>220</v>
      </c>
      <c r="BC104" s="87">
        <f t="shared" si="21"/>
        <v>11099.43</v>
      </c>
      <c r="BD104" s="92">
        <f t="shared" si="22"/>
        <v>8.166666667</v>
      </c>
      <c r="BE104" s="89" t="str">
        <f t="shared" si="23"/>
        <v>#VALUE!</v>
      </c>
      <c r="BF104" s="90" t="str">
        <f t="shared" si="24"/>
        <v>#VALUE!</v>
      </c>
      <c r="BH104" s="93">
        <f t="shared" si="25"/>
        <v>11099.43</v>
      </c>
      <c r="BI104" s="94">
        <f t="shared" si="26"/>
        <v>1</v>
      </c>
      <c r="BJ104" s="95" t="str">
        <f t="shared" si="27"/>
        <v>#VALUE!</v>
      </c>
      <c r="BK104" s="96" t="str">
        <f t="shared" si="28"/>
        <v>#VALUE!</v>
      </c>
      <c r="BM104" s="97">
        <f t="shared" si="29"/>
        <v>1</v>
      </c>
    </row>
    <row r="105" ht="12.75" customHeight="1">
      <c r="A105" s="65"/>
      <c r="B105" s="66" t="s">
        <v>239</v>
      </c>
      <c r="C105" s="67">
        <v>29250.85</v>
      </c>
      <c r="D105" s="68">
        <v>13.0</v>
      </c>
      <c r="E105" s="67">
        <f>9789.16+18480.26</f>
        <v>28269.42</v>
      </c>
      <c r="F105" s="68" t="s">
        <v>64</v>
      </c>
      <c r="G105" s="69">
        <v>40613.0</v>
      </c>
      <c r="H105" s="71" t="s">
        <v>57</v>
      </c>
      <c r="I105" s="69">
        <v>41029.0</v>
      </c>
      <c r="J105" s="71">
        <f t="shared" si="1"/>
        <v>13.86666667</v>
      </c>
      <c r="K105" s="72" t="s">
        <v>181</v>
      </c>
      <c r="L105" s="72">
        <v>40000.0</v>
      </c>
      <c r="M105" s="73">
        <v>1297.93</v>
      </c>
      <c r="N105" s="73">
        <v>150.0</v>
      </c>
      <c r="O105" s="73">
        <v>0.0</v>
      </c>
      <c r="P105" s="73">
        <f t="shared" si="36"/>
        <v>0</v>
      </c>
      <c r="Q105" s="73">
        <f t="shared" si="35"/>
        <v>0</v>
      </c>
      <c r="R105" s="74">
        <f t="shared" si="4"/>
        <v>0</v>
      </c>
      <c r="S105" s="74">
        <f t="shared" si="5"/>
        <v>1</v>
      </c>
      <c r="T105" s="75"/>
      <c r="V105" s="76"/>
      <c r="W105" s="77"/>
      <c r="X105" s="77"/>
      <c r="Y105" s="77"/>
      <c r="Z105" s="77"/>
      <c r="AA105" s="77"/>
      <c r="AB105" s="78">
        <f t="shared" si="6"/>
        <v>0</v>
      </c>
      <c r="AC105" s="77"/>
      <c r="AD105" s="79"/>
      <c r="AE105" s="80"/>
      <c r="AF105" s="81"/>
      <c r="AG105" s="79"/>
      <c r="AH105" s="80"/>
      <c r="AI105" s="82"/>
      <c r="AJ105" s="82">
        <f t="shared" si="7"/>
        <v>0</v>
      </c>
      <c r="AK105" s="83"/>
      <c r="AL105" s="84">
        <f t="shared" si="8"/>
        <v>0</v>
      </c>
      <c r="AP105" s="85">
        <f t="shared" si="9"/>
        <v>0</v>
      </c>
      <c r="AQ105" s="20">
        <f t="shared" si="10"/>
        <v>1</v>
      </c>
      <c r="AR105" s="20">
        <f t="shared" si="11"/>
        <v>0</v>
      </c>
      <c r="AS105" s="86">
        <f t="shared" si="12"/>
        <v>0</v>
      </c>
      <c r="AT105" s="87">
        <f t="shared" si="13"/>
        <v>0</v>
      </c>
      <c r="AU105" s="88">
        <f t="shared" si="14"/>
        <v>0</v>
      </c>
      <c r="AV105" s="89" t="str">
        <f t="shared" si="15"/>
        <v>#VALUE!</v>
      </c>
      <c r="AW105" s="90">
        <f t="shared" si="16"/>
        <v>0</v>
      </c>
      <c r="AY105" s="85">
        <f t="shared" si="17"/>
        <v>1</v>
      </c>
      <c r="AZ105" s="20">
        <f t="shared" si="18"/>
        <v>1</v>
      </c>
      <c r="BA105" s="20">
        <f t="shared" si="19"/>
        <v>1</v>
      </c>
      <c r="BB105" s="91">
        <f t="shared" si="20"/>
        <v>150</v>
      </c>
      <c r="BC105" s="87">
        <f t="shared" si="21"/>
        <v>28269.42</v>
      </c>
      <c r="BD105" s="92">
        <f t="shared" si="22"/>
        <v>13.86666667</v>
      </c>
      <c r="BE105" s="89" t="str">
        <f t="shared" si="23"/>
        <v>#VALUE!</v>
      </c>
      <c r="BF105" s="90" t="str">
        <f t="shared" si="24"/>
        <v>#VALUE!</v>
      </c>
      <c r="BH105" s="93">
        <f t="shared" si="25"/>
        <v>28269.42</v>
      </c>
      <c r="BI105" s="94">
        <f t="shared" si="26"/>
        <v>1</v>
      </c>
      <c r="BJ105" s="95" t="str">
        <f t="shared" si="27"/>
        <v>#VALUE!</v>
      </c>
      <c r="BK105" s="96" t="str">
        <f t="shared" si="28"/>
        <v>#VALUE!</v>
      </c>
      <c r="BM105" s="97">
        <f t="shared" si="29"/>
        <v>1</v>
      </c>
    </row>
    <row r="106" ht="12.75" customHeight="1">
      <c r="A106" s="65"/>
      <c r="B106" s="66" t="s">
        <v>240</v>
      </c>
      <c r="C106" s="67">
        <v>34966.4</v>
      </c>
      <c r="D106" s="68">
        <v>12.0</v>
      </c>
      <c r="E106" s="67">
        <v>33025.35</v>
      </c>
      <c r="F106" s="68" t="s">
        <v>64</v>
      </c>
      <c r="G106" s="69">
        <v>40674.0</v>
      </c>
      <c r="H106" s="71" t="s">
        <v>57</v>
      </c>
      <c r="I106" s="69">
        <v>40887.0</v>
      </c>
      <c r="J106" s="71">
        <f t="shared" si="1"/>
        <v>7.1</v>
      </c>
      <c r="K106" s="72" t="s">
        <v>241</v>
      </c>
      <c r="L106" s="72">
        <v>45808.2</v>
      </c>
      <c r="M106" s="73">
        <v>735.32</v>
      </c>
      <c r="N106" s="73"/>
      <c r="O106" s="73">
        <v>3679.2</v>
      </c>
      <c r="P106" s="73">
        <f t="shared" si="36"/>
        <v>0</v>
      </c>
      <c r="Q106" s="73">
        <f t="shared" si="35"/>
        <v>0</v>
      </c>
      <c r="R106" s="74">
        <f t="shared" si="4"/>
        <v>0</v>
      </c>
      <c r="S106" s="74">
        <f t="shared" si="5"/>
        <v>1</v>
      </c>
      <c r="T106" s="75"/>
      <c r="V106" s="76"/>
      <c r="W106" s="77"/>
      <c r="X106" s="77"/>
      <c r="Y106" s="77"/>
      <c r="Z106" s="77"/>
      <c r="AA106" s="77"/>
      <c r="AB106" s="78">
        <f t="shared" si="6"/>
        <v>0</v>
      </c>
      <c r="AC106" s="77"/>
      <c r="AD106" s="79"/>
      <c r="AE106" s="80"/>
      <c r="AF106" s="81"/>
      <c r="AG106" s="79"/>
      <c r="AH106" s="80"/>
      <c r="AI106" s="82"/>
      <c r="AJ106" s="82">
        <f t="shared" si="7"/>
        <v>0</v>
      </c>
      <c r="AK106" s="83"/>
      <c r="AL106" s="84">
        <f t="shared" si="8"/>
        <v>0</v>
      </c>
      <c r="AP106" s="85">
        <f t="shared" si="9"/>
        <v>0</v>
      </c>
      <c r="AQ106" s="20">
        <f t="shared" si="10"/>
        <v>1</v>
      </c>
      <c r="AR106" s="20">
        <f t="shared" si="11"/>
        <v>0</v>
      </c>
      <c r="AS106" s="86">
        <f t="shared" si="12"/>
        <v>0</v>
      </c>
      <c r="AT106" s="87">
        <f t="shared" si="13"/>
        <v>0</v>
      </c>
      <c r="AU106" s="88">
        <f t="shared" si="14"/>
        <v>0</v>
      </c>
      <c r="AV106" s="89" t="str">
        <f t="shared" si="15"/>
        <v>#VALUE!</v>
      </c>
      <c r="AW106" s="90">
        <f t="shared" si="16"/>
        <v>0</v>
      </c>
      <c r="AY106" s="85">
        <f t="shared" si="17"/>
        <v>1</v>
      </c>
      <c r="AZ106" s="20">
        <f t="shared" si="18"/>
        <v>1</v>
      </c>
      <c r="BA106" s="20">
        <f t="shared" si="19"/>
        <v>1</v>
      </c>
      <c r="BB106" s="91">
        <f t="shared" si="20"/>
        <v>3679.2</v>
      </c>
      <c r="BC106" s="87">
        <f t="shared" si="21"/>
        <v>33025.35</v>
      </c>
      <c r="BD106" s="92">
        <f t="shared" si="22"/>
        <v>7.1</v>
      </c>
      <c r="BE106" s="89" t="str">
        <f t="shared" si="23"/>
        <v>#VALUE!</v>
      </c>
      <c r="BF106" s="90" t="str">
        <f t="shared" si="24"/>
        <v>#VALUE!</v>
      </c>
      <c r="BH106" s="93">
        <f t="shared" si="25"/>
        <v>33025.35</v>
      </c>
      <c r="BI106" s="94">
        <f t="shared" si="26"/>
        <v>1</v>
      </c>
      <c r="BJ106" s="95" t="str">
        <f t="shared" si="27"/>
        <v>#VALUE!</v>
      </c>
      <c r="BK106" s="96" t="str">
        <f t="shared" si="28"/>
        <v>#VALUE!</v>
      </c>
      <c r="BM106" s="97">
        <f t="shared" si="29"/>
        <v>1</v>
      </c>
    </row>
    <row r="107" ht="12.75" customHeight="1">
      <c r="A107" s="65"/>
      <c r="B107" s="66" t="s">
        <v>242</v>
      </c>
      <c r="C107" s="67">
        <v>23439.17</v>
      </c>
      <c r="D107" s="68">
        <v>13.0</v>
      </c>
      <c r="E107" s="67">
        <v>20144.16</v>
      </c>
      <c r="F107" s="68" t="s">
        <v>56</v>
      </c>
      <c r="G107" s="69">
        <v>40694.0</v>
      </c>
      <c r="H107" s="71" t="s">
        <v>57</v>
      </c>
      <c r="I107" s="69">
        <v>41193.0</v>
      </c>
      <c r="J107" s="71">
        <f t="shared" si="1"/>
        <v>16.63333333</v>
      </c>
      <c r="K107" s="72" t="s">
        <v>243</v>
      </c>
      <c r="L107" s="72">
        <v>30000.0</v>
      </c>
      <c r="M107" s="73">
        <v>852.51</v>
      </c>
      <c r="N107" s="73">
        <v>5347.44</v>
      </c>
      <c r="O107" s="73">
        <v>5824.79</v>
      </c>
      <c r="P107" s="73">
        <f t="shared" si="36"/>
        <v>0</v>
      </c>
      <c r="Q107" s="73">
        <f t="shared" si="35"/>
        <v>2168.9</v>
      </c>
      <c r="R107" s="74">
        <f t="shared" si="4"/>
        <v>0.1076689224</v>
      </c>
      <c r="S107" s="74">
        <f t="shared" si="5"/>
        <v>0.8923310776</v>
      </c>
      <c r="T107" s="75"/>
      <c r="V107" s="76"/>
      <c r="W107" s="77"/>
      <c r="X107" s="77"/>
      <c r="Y107" s="77"/>
      <c r="Z107" s="77"/>
      <c r="AA107" s="77"/>
      <c r="AB107" s="78">
        <f t="shared" si="6"/>
        <v>0</v>
      </c>
      <c r="AC107" s="77"/>
      <c r="AD107" s="79"/>
      <c r="AE107" s="80"/>
      <c r="AF107" s="81"/>
      <c r="AG107" s="79"/>
      <c r="AH107" s="80"/>
      <c r="AI107" s="82"/>
      <c r="AJ107" s="82">
        <f t="shared" si="7"/>
        <v>0</v>
      </c>
      <c r="AK107" s="83"/>
      <c r="AL107" s="84">
        <f t="shared" si="8"/>
        <v>0</v>
      </c>
      <c r="AP107" s="85">
        <f t="shared" si="9"/>
        <v>1</v>
      </c>
      <c r="AQ107" s="20">
        <f t="shared" si="10"/>
        <v>1</v>
      </c>
      <c r="AR107" s="20">
        <f t="shared" si="11"/>
        <v>1</v>
      </c>
      <c r="AS107" s="86">
        <f t="shared" si="12"/>
        <v>11172.23</v>
      </c>
      <c r="AT107" s="87">
        <f t="shared" si="13"/>
        <v>20144.16</v>
      </c>
      <c r="AU107" s="88">
        <f t="shared" si="14"/>
        <v>16.63333333</v>
      </c>
      <c r="AV107" s="89" t="str">
        <f t="shared" si="15"/>
        <v>#VALUE!</v>
      </c>
      <c r="AW107" s="90" t="str">
        <f t="shared" si="16"/>
        <v>#VALUE!</v>
      </c>
      <c r="AY107" s="85">
        <f t="shared" si="17"/>
        <v>0</v>
      </c>
      <c r="AZ107" s="20">
        <f t="shared" si="18"/>
        <v>1</v>
      </c>
      <c r="BA107" s="20">
        <f t="shared" si="19"/>
        <v>0</v>
      </c>
      <c r="BB107" s="91">
        <f t="shared" si="20"/>
        <v>0</v>
      </c>
      <c r="BC107" s="87">
        <f t="shared" si="21"/>
        <v>0</v>
      </c>
      <c r="BD107" s="92">
        <f t="shared" si="22"/>
        <v>0</v>
      </c>
      <c r="BE107" s="89" t="str">
        <f t="shared" si="23"/>
        <v>#VALUE!</v>
      </c>
      <c r="BF107" s="90">
        <f t="shared" si="24"/>
        <v>0</v>
      </c>
      <c r="BH107" s="93">
        <f t="shared" si="25"/>
        <v>20144.16</v>
      </c>
      <c r="BI107" s="94">
        <f t="shared" si="26"/>
        <v>1</v>
      </c>
      <c r="BJ107" s="95" t="str">
        <f t="shared" si="27"/>
        <v>#VALUE!</v>
      </c>
      <c r="BK107" s="96" t="str">
        <f t="shared" si="28"/>
        <v>#VALUE!</v>
      </c>
      <c r="BM107" s="97">
        <f t="shared" si="29"/>
        <v>1</v>
      </c>
    </row>
    <row r="108" ht="12.75" customHeight="1">
      <c r="A108" s="65"/>
      <c r="B108" s="66" t="s">
        <v>244</v>
      </c>
      <c r="C108" s="67">
        <v>21324.01</v>
      </c>
      <c r="D108" s="68">
        <v>13.0</v>
      </c>
      <c r="E108" s="67">
        <f>17142.29+3151.42</f>
        <v>20293.71</v>
      </c>
      <c r="F108" s="68" t="s">
        <v>64</v>
      </c>
      <c r="G108" s="69">
        <v>40705.0</v>
      </c>
      <c r="H108" s="71" t="s">
        <v>57</v>
      </c>
      <c r="I108" s="69">
        <v>40858.0</v>
      </c>
      <c r="J108" s="71">
        <f t="shared" si="1"/>
        <v>5.1</v>
      </c>
      <c r="K108" s="72" t="s">
        <v>245</v>
      </c>
      <c r="L108" s="72">
        <v>32000.0</v>
      </c>
      <c r="M108" s="73">
        <v>23.28</v>
      </c>
      <c r="N108" s="73"/>
      <c r="O108" s="73">
        <v>0.0</v>
      </c>
      <c r="P108" s="73">
        <f t="shared" si="36"/>
        <v>0</v>
      </c>
      <c r="Q108" s="73">
        <f t="shared" si="35"/>
        <v>0</v>
      </c>
      <c r="R108" s="74">
        <f t="shared" si="4"/>
        <v>0</v>
      </c>
      <c r="S108" s="74">
        <f t="shared" si="5"/>
        <v>1</v>
      </c>
      <c r="T108" s="75"/>
      <c r="V108" s="76"/>
      <c r="W108" s="77"/>
      <c r="X108" s="77"/>
      <c r="Y108" s="77"/>
      <c r="Z108" s="77"/>
      <c r="AA108" s="77"/>
      <c r="AB108" s="78">
        <f t="shared" si="6"/>
        <v>0</v>
      </c>
      <c r="AC108" s="77"/>
      <c r="AD108" s="79"/>
      <c r="AE108" s="80"/>
      <c r="AF108" s="81"/>
      <c r="AG108" s="79"/>
      <c r="AH108" s="80"/>
      <c r="AI108" s="82"/>
      <c r="AJ108" s="82">
        <f t="shared" si="7"/>
        <v>0</v>
      </c>
      <c r="AK108" s="83"/>
      <c r="AL108" s="84">
        <f t="shared" si="8"/>
        <v>0</v>
      </c>
      <c r="AP108" s="85">
        <f t="shared" si="9"/>
        <v>0</v>
      </c>
      <c r="AQ108" s="20">
        <f t="shared" si="10"/>
        <v>1</v>
      </c>
      <c r="AR108" s="20">
        <f t="shared" si="11"/>
        <v>0</v>
      </c>
      <c r="AS108" s="86">
        <f t="shared" si="12"/>
        <v>0</v>
      </c>
      <c r="AT108" s="87">
        <f t="shared" si="13"/>
        <v>0</v>
      </c>
      <c r="AU108" s="88">
        <f t="shared" si="14"/>
        <v>0</v>
      </c>
      <c r="AV108" s="89" t="str">
        <f t="shared" si="15"/>
        <v>#VALUE!</v>
      </c>
      <c r="AW108" s="90">
        <f t="shared" si="16"/>
        <v>0</v>
      </c>
      <c r="AY108" s="85">
        <f t="shared" si="17"/>
        <v>1</v>
      </c>
      <c r="AZ108" s="20">
        <f t="shared" si="18"/>
        <v>1</v>
      </c>
      <c r="BA108" s="20">
        <f t="shared" si="19"/>
        <v>1</v>
      </c>
      <c r="BB108" s="91">
        <f t="shared" si="20"/>
        <v>0</v>
      </c>
      <c r="BC108" s="87">
        <f t="shared" si="21"/>
        <v>20293.71</v>
      </c>
      <c r="BD108" s="92">
        <f t="shared" si="22"/>
        <v>5.1</v>
      </c>
      <c r="BE108" s="89" t="str">
        <f t="shared" si="23"/>
        <v>#VALUE!</v>
      </c>
      <c r="BF108" s="90" t="str">
        <f t="shared" si="24"/>
        <v>#VALUE!</v>
      </c>
      <c r="BH108" s="93">
        <f t="shared" si="25"/>
        <v>20293.71</v>
      </c>
      <c r="BI108" s="94">
        <f t="shared" si="26"/>
        <v>1</v>
      </c>
      <c r="BJ108" s="95" t="str">
        <f t="shared" si="27"/>
        <v>#VALUE!</v>
      </c>
      <c r="BK108" s="96" t="str">
        <f t="shared" si="28"/>
        <v>#VALUE!</v>
      </c>
      <c r="BM108" s="97">
        <f t="shared" si="29"/>
        <v>1</v>
      </c>
    </row>
    <row r="109" ht="12.75" customHeight="1">
      <c r="A109" s="65"/>
      <c r="B109" s="66" t="s">
        <v>246</v>
      </c>
      <c r="C109" s="67">
        <v>21681.0</v>
      </c>
      <c r="D109" s="68">
        <v>12.0</v>
      </c>
      <c r="E109" s="67">
        <v>19513.98</v>
      </c>
      <c r="F109" s="68" t="s">
        <v>64</v>
      </c>
      <c r="G109" s="69">
        <v>40705.0</v>
      </c>
      <c r="H109" s="71" t="s">
        <v>57</v>
      </c>
      <c r="I109" s="69">
        <v>41091.0</v>
      </c>
      <c r="J109" s="71">
        <f t="shared" si="1"/>
        <v>12.86666667</v>
      </c>
      <c r="K109" s="72" t="s">
        <v>247</v>
      </c>
      <c r="L109" s="72">
        <v>26000.0</v>
      </c>
      <c r="M109" s="73">
        <v>829.6199999999999</v>
      </c>
      <c r="N109" s="73">
        <v>380.33</v>
      </c>
      <c r="O109" s="73">
        <v>4416.05</v>
      </c>
      <c r="P109" s="73">
        <f t="shared" si="36"/>
        <v>0</v>
      </c>
      <c r="Q109" s="73">
        <f t="shared" si="35"/>
        <v>0</v>
      </c>
      <c r="R109" s="74">
        <f t="shared" si="4"/>
        <v>0</v>
      </c>
      <c r="S109" s="74">
        <f t="shared" si="5"/>
        <v>1</v>
      </c>
      <c r="T109" s="75"/>
      <c r="V109" s="76"/>
      <c r="W109" s="77"/>
      <c r="X109" s="77"/>
      <c r="Y109" s="77"/>
      <c r="Z109" s="77"/>
      <c r="AA109" s="77"/>
      <c r="AB109" s="78">
        <f t="shared" si="6"/>
        <v>0</v>
      </c>
      <c r="AC109" s="77"/>
      <c r="AD109" s="79"/>
      <c r="AE109" s="80"/>
      <c r="AF109" s="81"/>
      <c r="AG109" s="79"/>
      <c r="AH109" s="80"/>
      <c r="AI109" s="82"/>
      <c r="AJ109" s="82">
        <f t="shared" si="7"/>
        <v>0</v>
      </c>
      <c r="AK109" s="83"/>
      <c r="AL109" s="84">
        <f t="shared" si="8"/>
        <v>0</v>
      </c>
      <c r="AP109" s="85">
        <f t="shared" si="9"/>
        <v>0</v>
      </c>
      <c r="AQ109" s="20">
        <f t="shared" si="10"/>
        <v>1</v>
      </c>
      <c r="AR109" s="20">
        <f t="shared" si="11"/>
        <v>0</v>
      </c>
      <c r="AS109" s="86">
        <f t="shared" si="12"/>
        <v>0</v>
      </c>
      <c r="AT109" s="87">
        <f t="shared" si="13"/>
        <v>0</v>
      </c>
      <c r="AU109" s="88">
        <f t="shared" si="14"/>
        <v>0</v>
      </c>
      <c r="AV109" s="89" t="str">
        <f t="shared" si="15"/>
        <v>#VALUE!</v>
      </c>
      <c r="AW109" s="90">
        <f t="shared" si="16"/>
        <v>0</v>
      </c>
      <c r="AY109" s="85">
        <f t="shared" si="17"/>
        <v>1</v>
      </c>
      <c r="AZ109" s="20">
        <f t="shared" si="18"/>
        <v>1</v>
      </c>
      <c r="BA109" s="20">
        <f t="shared" si="19"/>
        <v>1</v>
      </c>
      <c r="BB109" s="91">
        <f t="shared" si="20"/>
        <v>4796.38</v>
      </c>
      <c r="BC109" s="87">
        <f t="shared" si="21"/>
        <v>19513.98</v>
      </c>
      <c r="BD109" s="92">
        <f t="shared" si="22"/>
        <v>12.86666667</v>
      </c>
      <c r="BE109" s="89" t="str">
        <f t="shared" si="23"/>
        <v>#VALUE!</v>
      </c>
      <c r="BF109" s="90" t="str">
        <f t="shared" si="24"/>
        <v>#VALUE!</v>
      </c>
      <c r="BH109" s="93">
        <f t="shared" si="25"/>
        <v>19513.98</v>
      </c>
      <c r="BI109" s="94">
        <f t="shared" si="26"/>
        <v>1</v>
      </c>
      <c r="BJ109" s="95" t="str">
        <f t="shared" si="27"/>
        <v>#VALUE!</v>
      </c>
      <c r="BK109" s="96" t="str">
        <f t="shared" si="28"/>
        <v>#VALUE!</v>
      </c>
      <c r="BM109" s="97">
        <f t="shared" si="29"/>
        <v>1</v>
      </c>
    </row>
    <row r="110" ht="12.75" customHeight="1">
      <c r="A110" s="65"/>
      <c r="B110" s="66" t="s">
        <v>248</v>
      </c>
      <c r="C110" s="67">
        <v>20500.0</v>
      </c>
      <c r="D110" s="68">
        <v>11.0</v>
      </c>
      <c r="E110" s="67">
        <v>20144.19</v>
      </c>
      <c r="F110" s="68" t="s">
        <v>56</v>
      </c>
      <c r="G110" s="69">
        <v>40735.0</v>
      </c>
      <c r="H110" s="71" t="s">
        <v>57</v>
      </c>
      <c r="I110" s="69">
        <v>40888.0</v>
      </c>
      <c r="J110" s="71">
        <f t="shared" si="1"/>
        <v>5.1</v>
      </c>
      <c r="K110" s="72" t="s">
        <v>249</v>
      </c>
      <c r="L110" s="72">
        <v>26100.0</v>
      </c>
      <c r="M110" s="73">
        <v>1144.45</v>
      </c>
      <c r="N110" s="73"/>
      <c r="O110" s="73">
        <v>1826.71</v>
      </c>
      <c r="P110" s="73">
        <f t="shared" si="36"/>
        <v>0</v>
      </c>
      <c r="Q110" s="73">
        <f t="shared" si="35"/>
        <v>0</v>
      </c>
      <c r="R110" s="74">
        <f t="shared" si="4"/>
        <v>0</v>
      </c>
      <c r="S110" s="74">
        <f t="shared" si="5"/>
        <v>1</v>
      </c>
      <c r="T110" s="75"/>
      <c r="V110" s="76"/>
      <c r="W110" s="77"/>
      <c r="X110" s="77"/>
      <c r="Y110" s="77"/>
      <c r="Z110" s="77"/>
      <c r="AA110" s="77"/>
      <c r="AB110" s="78">
        <f t="shared" si="6"/>
        <v>0</v>
      </c>
      <c r="AC110" s="77"/>
      <c r="AD110" s="79"/>
      <c r="AE110" s="80"/>
      <c r="AF110" s="81"/>
      <c r="AG110" s="79"/>
      <c r="AH110" s="80"/>
      <c r="AI110" s="82"/>
      <c r="AJ110" s="82">
        <f t="shared" si="7"/>
        <v>0</v>
      </c>
      <c r="AK110" s="83"/>
      <c r="AL110" s="84">
        <f t="shared" si="8"/>
        <v>0</v>
      </c>
      <c r="AP110" s="85">
        <f t="shared" si="9"/>
        <v>1</v>
      </c>
      <c r="AQ110" s="20">
        <f t="shared" si="10"/>
        <v>1</v>
      </c>
      <c r="AR110" s="20">
        <f t="shared" si="11"/>
        <v>1</v>
      </c>
      <c r="AS110" s="86">
        <f t="shared" si="12"/>
        <v>1826.71</v>
      </c>
      <c r="AT110" s="87">
        <f t="shared" si="13"/>
        <v>20144.19</v>
      </c>
      <c r="AU110" s="88">
        <f t="shared" si="14"/>
        <v>5.1</v>
      </c>
      <c r="AV110" s="89" t="str">
        <f t="shared" si="15"/>
        <v>#VALUE!</v>
      </c>
      <c r="AW110" s="90" t="str">
        <f t="shared" si="16"/>
        <v>#VALUE!</v>
      </c>
      <c r="AY110" s="85">
        <f t="shared" si="17"/>
        <v>0</v>
      </c>
      <c r="AZ110" s="20">
        <f t="shared" si="18"/>
        <v>1</v>
      </c>
      <c r="BA110" s="20">
        <f t="shared" si="19"/>
        <v>0</v>
      </c>
      <c r="BB110" s="91">
        <f t="shared" si="20"/>
        <v>0</v>
      </c>
      <c r="BC110" s="87">
        <f t="shared" si="21"/>
        <v>0</v>
      </c>
      <c r="BD110" s="92">
        <f t="shared" si="22"/>
        <v>0</v>
      </c>
      <c r="BE110" s="89" t="str">
        <f t="shared" si="23"/>
        <v>#VALUE!</v>
      </c>
      <c r="BF110" s="90">
        <f t="shared" si="24"/>
        <v>0</v>
      </c>
      <c r="BH110" s="93">
        <f t="shared" si="25"/>
        <v>20144.19</v>
      </c>
      <c r="BI110" s="94">
        <f t="shared" si="26"/>
        <v>1</v>
      </c>
      <c r="BJ110" s="95" t="str">
        <f t="shared" si="27"/>
        <v>#VALUE!</v>
      </c>
      <c r="BK110" s="96" t="str">
        <f t="shared" si="28"/>
        <v>#VALUE!</v>
      </c>
      <c r="BM110" s="97">
        <f t="shared" si="29"/>
        <v>1</v>
      </c>
    </row>
    <row r="111" ht="12.75" customHeight="1">
      <c r="A111" s="65"/>
      <c r="B111" s="66" t="s">
        <v>250</v>
      </c>
      <c r="C111" s="67">
        <v>29700.0</v>
      </c>
      <c r="D111" s="68">
        <v>13.0</v>
      </c>
      <c r="E111" s="67">
        <v>29640.52</v>
      </c>
      <c r="F111" s="68" t="s">
        <v>56</v>
      </c>
      <c r="G111" s="69">
        <v>40735.0</v>
      </c>
      <c r="H111" s="71" t="s">
        <v>57</v>
      </c>
      <c r="I111" s="69">
        <v>40939.0</v>
      </c>
      <c r="J111" s="71">
        <f t="shared" si="1"/>
        <v>6.8</v>
      </c>
      <c r="K111" s="72" t="s">
        <v>251</v>
      </c>
      <c r="L111" s="72">
        <v>32085.0</v>
      </c>
      <c r="M111" s="73">
        <v>308.88</v>
      </c>
      <c r="N111" s="73"/>
      <c r="O111" s="73">
        <v>2193.19</v>
      </c>
      <c r="P111" s="73">
        <f t="shared" si="36"/>
        <v>0</v>
      </c>
      <c r="Q111" s="73">
        <f t="shared" si="35"/>
        <v>57.59</v>
      </c>
      <c r="R111" s="74">
        <f t="shared" si="4"/>
        <v>0.001942948369</v>
      </c>
      <c r="S111" s="74">
        <f t="shared" si="5"/>
        <v>0.9980570516</v>
      </c>
      <c r="T111" s="75"/>
      <c r="V111" s="76"/>
      <c r="W111" s="77"/>
      <c r="X111" s="77"/>
      <c r="Y111" s="77"/>
      <c r="Z111" s="77"/>
      <c r="AA111" s="77"/>
      <c r="AB111" s="78">
        <f t="shared" si="6"/>
        <v>0</v>
      </c>
      <c r="AC111" s="77"/>
      <c r="AD111" s="79"/>
      <c r="AE111" s="80"/>
      <c r="AF111" s="81"/>
      <c r="AG111" s="79"/>
      <c r="AH111" s="80"/>
      <c r="AI111" s="82"/>
      <c r="AJ111" s="82">
        <f t="shared" si="7"/>
        <v>0</v>
      </c>
      <c r="AK111" s="83"/>
      <c r="AL111" s="84">
        <f t="shared" si="8"/>
        <v>0</v>
      </c>
      <c r="AP111" s="85">
        <f t="shared" si="9"/>
        <v>1</v>
      </c>
      <c r="AQ111" s="20">
        <f t="shared" si="10"/>
        <v>1</v>
      </c>
      <c r="AR111" s="20">
        <f t="shared" si="11"/>
        <v>1</v>
      </c>
      <c r="AS111" s="86">
        <f t="shared" si="12"/>
        <v>2193.19</v>
      </c>
      <c r="AT111" s="87">
        <f t="shared" si="13"/>
        <v>29640.52</v>
      </c>
      <c r="AU111" s="88">
        <f t="shared" si="14"/>
        <v>6.8</v>
      </c>
      <c r="AV111" s="89" t="str">
        <f t="shared" si="15"/>
        <v>#VALUE!</v>
      </c>
      <c r="AW111" s="90" t="str">
        <f t="shared" si="16"/>
        <v>#VALUE!</v>
      </c>
      <c r="AY111" s="85">
        <f t="shared" si="17"/>
        <v>0</v>
      </c>
      <c r="AZ111" s="20">
        <f t="shared" si="18"/>
        <v>1</v>
      </c>
      <c r="BA111" s="20">
        <f t="shared" si="19"/>
        <v>0</v>
      </c>
      <c r="BB111" s="91">
        <f t="shared" si="20"/>
        <v>0</v>
      </c>
      <c r="BC111" s="87">
        <f t="shared" si="21"/>
        <v>0</v>
      </c>
      <c r="BD111" s="92">
        <f t="shared" si="22"/>
        <v>0</v>
      </c>
      <c r="BE111" s="89" t="str">
        <f t="shared" si="23"/>
        <v>#VALUE!</v>
      </c>
      <c r="BF111" s="90">
        <f t="shared" si="24"/>
        <v>0</v>
      </c>
      <c r="BH111" s="93">
        <f t="shared" si="25"/>
        <v>29640.52</v>
      </c>
      <c r="BI111" s="94">
        <f t="shared" si="26"/>
        <v>1</v>
      </c>
      <c r="BJ111" s="95" t="str">
        <f t="shared" si="27"/>
        <v>#VALUE!</v>
      </c>
      <c r="BK111" s="96" t="str">
        <f t="shared" si="28"/>
        <v>#VALUE!</v>
      </c>
      <c r="BM111" s="97">
        <f t="shared" si="29"/>
        <v>1</v>
      </c>
    </row>
    <row r="112" ht="12.75" customHeight="1">
      <c r="A112" s="65"/>
      <c r="B112" s="66" t="s">
        <v>252</v>
      </c>
      <c r="C112" s="67">
        <v>34105.0</v>
      </c>
      <c r="D112" s="68">
        <v>13.0</v>
      </c>
      <c r="E112" s="67">
        <v>29687.27</v>
      </c>
      <c r="F112" s="68" t="s">
        <v>56</v>
      </c>
      <c r="G112" s="69">
        <v>40735.0</v>
      </c>
      <c r="H112" s="71" t="s">
        <v>57</v>
      </c>
      <c r="I112" s="69">
        <v>41119.0</v>
      </c>
      <c r="J112" s="71">
        <f t="shared" si="1"/>
        <v>12.8</v>
      </c>
      <c r="K112" s="72" t="s">
        <v>253</v>
      </c>
      <c r="L112" s="72">
        <v>46000.0</v>
      </c>
      <c r="M112" s="73">
        <v>4077.31</v>
      </c>
      <c r="N112" s="73">
        <v>14811.97</v>
      </c>
      <c r="O112" s="73">
        <v>2011.37</v>
      </c>
      <c r="P112" s="73">
        <f t="shared" si="36"/>
        <v>0</v>
      </c>
      <c r="Q112" s="73">
        <f t="shared" si="35"/>
        <v>4587.92</v>
      </c>
      <c r="R112" s="74">
        <f t="shared" si="4"/>
        <v>0.1545416604</v>
      </c>
      <c r="S112" s="74">
        <f t="shared" si="5"/>
        <v>0.8454583396</v>
      </c>
      <c r="T112" s="75"/>
      <c r="V112" s="76"/>
      <c r="W112" s="77"/>
      <c r="X112" s="77"/>
      <c r="Y112" s="77"/>
      <c r="Z112" s="77"/>
      <c r="AA112" s="77"/>
      <c r="AB112" s="78">
        <f t="shared" si="6"/>
        <v>0</v>
      </c>
      <c r="AC112" s="77"/>
      <c r="AD112" s="79"/>
      <c r="AE112" s="80"/>
      <c r="AF112" s="81"/>
      <c r="AG112" s="79"/>
      <c r="AH112" s="80"/>
      <c r="AI112" s="82"/>
      <c r="AJ112" s="82">
        <f t="shared" si="7"/>
        <v>0</v>
      </c>
      <c r="AK112" s="83"/>
      <c r="AL112" s="84">
        <f t="shared" si="8"/>
        <v>0</v>
      </c>
      <c r="AP112" s="85">
        <f t="shared" si="9"/>
        <v>1</v>
      </c>
      <c r="AQ112" s="20">
        <f t="shared" si="10"/>
        <v>1</v>
      </c>
      <c r="AR112" s="20">
        <f t="shared" si="11"/>
        <v>1</v>
      </c>
      <c r="AS112" s="86">
        <f t="shared" si="12"/>
        <v>16823.34</v>
      </c>
      <c r="AT112" s="87">
        <f t="shared" si="13"/>
        <v>29687.27</v>
      </c>
      <c r="AU112" s="88">
        <f t="shared" si="14"/>
        <v>12.8</v>
      </c>
      <c r="AV112" s="89" t="str">
        <f t="shared" si="15"/>
        <v>#VALUE!</v>
      </c>
      <c r="AW112" s="90" t="str">
        <f t="shared" si="16"/>
        <v>#VALUE!</v>
      </c>
      <c r="AY112" s="85">
        <f t="shared" si="17"/>
        <v>0</v>
      </c>
      <c r="AZ112" s="20">
        <f t="shared" si="18"/>
        <v>1</v>
      </c>
      <c r="BA112" s="20">
        <f t="shared" si="19"/>
        <v>0</v>
      </c>
      <c r="BB112" s="91">
        <f t="shared" si="20"/>
        <v>0</v>
      </c>
      <c r="BC112" s="87">
        <f t="shared" si="21"/>
        <v>0</v>
      </c>
      <c r="BD112" s="92">
        <f t="shared" si="22"/>
        <v>0</v>
      </c>
      <c r="BE112" s="89" t="str">
        <f t="shared" si="23"/>
        <v>#VALUE!</v>
      </c>
      <c r="BF112" s="90">
        <f t="shared" si="24"/>
        <v>0</v>
      </c>
      <c r="BH112" s="93">
        <f t="shared" si="25"/>
        <v>29687.27</v>
      </c>
      <c r="BI112" s="94">
        <f t="shared" si="26"/>
        <v>1</v>
      </c>
      <c r="BJ112" s="95" t="str">
        <f t="shared" si="27"/>
        <v>#VALUE!</v>
      </c>
      <c r="BK112" s="96" t="str">
        <f t="shared" si="28"/>
        <v>#VALUE!</v>
      </c>
      <c r="BM112" s="97">
        <f t="shared" si="29"/>
        <v>1</v>
      </c>
    </row>
    <row r="113" ht="12.75" customHeight="1">
      <c r="A113" s="65"/>
      <c r="B113" s="66" t="s">
        <v>254</v>
      </c>
      <c r="C113" s="67">
        <v>26350.0</v>
      </c>
      <c r="D113" s="68">
        <v>12.0</v>
      </c>
      <c r="E113" s="67">
        <v>24310.64</v>
      </c>
      <c r="F113" s="68" t="s">
        <v>64</v>
      </c>
      <c r="G113" s="69">
        <v>40754.0</v>
      </c>
      <c r="H113" s="71" t="s">
        <v>57</v>
      </c>
      <c r="I113" s="69">
        <v>40858.0</v>
      </c>
      <c r="J113" s="71">
        <f t="shared" si="1"/>
        <v>3.466666667</v>
      </c>
      <c r="K113" s="72" t="s">
        <v>255</v>
      </c>
      <c r="L113" s="72">
        <v>26209.35</v>
      </c>
      <c r="M113" s="73">
        <v>339.49</v>
      </c>
      <c r="N113" s="73"/>
      <c r="O113" s="73"/>
      <c r="P113" s="73">
        <f t="shared" si="36"/>
        <v>0</v>
      </c>
      <c r="Q113" s="73">
        <f t="shared" si="35"/>
        <v>0</v>
      </c>
      <c r="R113" s="74">
        <f t="shared" si="4"/>
        <v>0</v>
      </c>
      <c r="S113" s="74">
        <f t="shared" si="5"/>
        <v>1</v>
      </c>
      <c r="T113" s="75"/>
      <c r="V113" s="76"/>
      <c r="W113" s="77"/>
      <c r="X113" s="77"/>
      <c r="Y113" s="77"/>
      <c r="Z113" s="77"/>
      <c r="AA113" s="77"/>
      <c r="AB113" s="78">
        <f t="shared" si="6"/>
        <v>0</v>
      </c>
      <c r="AC113" s="77"/>
      <c r="AD113" s="79"/>
      <c r="AE113" s="80"/>
      <c r="AF113" s="81"/>
      <c r="AG113" s="79"/>
      <c r="AH113" s="80"/>
      <c r="AI113" s="82"/>
      <c r="AJ113" s="82">
        <f t="shared" si="7"/>
        <v>0</v>
      </c>
      <c r="AK113" s="83"/>
      <c r="AL113" s="84">
        <f t="shared" si="8"/>
        <v>0</v>
      </c>
      <c r="AP113" s="85">
        <f t="shared" si="9"/>
        <v>0</v>
      </c>
      <c r="AQ113" s="20">
        <f t="shared" si="10"/>
        <v>1</v>
      </c>
      <c r="AR113" s="20">
        <f t="shared" si="11"/>
        <v>0</v>
      </c>
      <c r="AS113" s="86">
        <f t="shared" si="12"/>
        <v>0</v>
      </c>
      <c r="AT113" s="87">
        <f t="shared" si="13"/>
        <v>0</v>
      </c>
      <c r="AU113" s="88">
        <f t="shared" si="14"/>
        <v>0</v>
      </c>
      <c r="AV113" s="89" t="str">
        <f t="shared" si="15"/>
        <v>#VALUE!</v>
      </c>
      <c r="AW113" s="90">
        <f t="shared" si="16"/>
        <v>0</v>
      </c>
      <c r="AY113" s="85">
        <f t="shared" si="17"/>
        <v>1</v>
      </c>
      <c r="AZ113" s="20">
        <f t="shared" si="18"/>
        <v>1</v>
      </c>
      <c r="BA113" s="20">
        <f t="shared" si="19"/>
        <v>1</v>
      </c>
      <c r="BB113" s="91">
        <f t="shared" si="20"/>
        <v>0</v>
      </c>
      <c r="BC113" s="87">
        <f t="shared" si="21"/>
        <v>24310.64</v>
      </c>
      <c r="BD113" s="92">
        <f t="shared" si="22"/>
        <v>3.466666667</v>
      </c>
      <c r="BE113" s="89" t="str">
        <f t="shared" si="23"/>
        <v>#VALUE!</v>
      </c>
      <c r="BF113" s="90" t="str">
        <f t="shared" si="24"/>
        <v>#VALUE!</v>
      </c>
      <c r="BH113" s="93">
        <f t="shared" si="25"/>
        <v>24310.64</v>
      </c>
      <c r="BI113" s="94">
        <f t="shared" si="26"/>
        <v>1</v>
      </c>
      <c r="BJ113" s="95" t="str">
        <f t="shared" si="27"/>
        <v>#VALUE!</v>
      </c>
      <c r="BK113" s="96" t="str">
        <f t="shared" si="28"/>
        <v>#VALUE!</v>
      </c>
      <c r="BM113" s="97">
        <f t="shared" si="29"/>
        <v>1</v>
      </c>
    </row>
    <row r="114" ht="12.75" customHeight="1">
      <c r="A114" s="65"/>
      <c r="B114" s="66" t="s">
        <v>256</v>
      </c>
      <c r="C114" s="67">
        <v>23235.3</v>
      </c>
      <c r="D114" s="68">
        <v>13.0</v>
      </c>
      <c r="E114" s="67">
        <v>19992.83</v>
      </c>
      <c r="F114" s="68" t="s">
        <v>64</v>
      </c>
      <c r="G114" s="69">
        <v>40765.0</v>
      </c>
      <c r="H114" s="71" t="s">
        <v>57</v>
      </c>
      <c r="I114" s="69">
        <v>41070.0</v>
      </c>
      <c r="J114" s="71">
        <f t="shared" si="1"/>
        <v>10.16666667</v>
      </c>
      <c r="K114" s="72" t="s">
        <v>257</v>
      </c>
      <c r="L114" s="72">
        <v>29574.0</v>
      </c>
      <c r="M114" s="73">
        <v>319.11</v>
      </c>
      <c r="N114" s="73"/>
      <c r="O114" s="73">
        <v>4377.85</v>
      </c>
      <c r="P114" s="73">
        <f t="shared" si="36"/>
        <v>0</v>
      </c>
      <c r="Q114" s="73">
        <f t="shared" si="35"/>
        <v>0</v>
      </c>
      <c r="R114" s="74">
        <f t="shared" si="4"/>
        <v>0</v>
      </c>
      <c r="S114" s="74">
        <f t="shared" si="5"/>
        <v>1</v>
      </c>
      <c r="T114" s="75"/>
      <c r="V114" s="76"/>
      <c r="W114" s="77"/>
      <c r="X114" s="77"/>
      <c r="Y114" s="77"/>
      <c r="Z114" s="77"/>
      <c r="AA114" s="77"/>
      <c r="AB114" s="78">
        <f t="shared" si="6"/>
        <v>0</v>
      </c>
      <c r="AC114" s="77"/>
      <c r="AD114" s="79"/>
      <c r="AE114" s="80"/>
      <c r="AF114" s="81"/>
      <c r="AG114" s="79"/>
      <c r="AH114" s="80"/>
      <c r="AI114" s="82"/>
      <c r="AJ114" s="82">
        <f t="shared" si="7"/>
        <v>0</v>
      </c>
      <c r="AK114" s="83"/>
      <c r="AL114" s="84">
        <f t="shared" si="8"/>
        <v>0</v>
      </c>
      <c r="AP114" s="85">
        <f t="shared" si="9"/>
        <v>0</v>
      </c>
      <c r="AQ114" s="20">
        <f t="shared" si="10"/>
        <v>1</v>
      </c>
      <c r="AR114" s="20">
        <f t="shared" si="11"/>
        <v>0</v>
      </c>
      <c r="AS114" s="86">
        <f t="shared" si="12"/>
        <v>0</v>
      </c>
      <c r="AT114" s="87">
        <f t="shared" si="13"/>
        <v>0</v>
      </c>
      <c r="AU114" s="88">
        <f t="shared" si="14"/>
        <v>0</v>
      </c>
      <c r="AV114" s="89" t="str">
        <f t="shared" si="15"/>
        <v>#VALUE!</v>
      </c>
      <c r="AW114" s="90">
        <f t="shared" si="16"/>
        <v>0</v>
      </c>
      <c r="AY114" s="85">
        <f t="shared" si="17"/>
        <v>1</v>
      </c>
      <c r="AZ114" s="20">
        <f t="shared" si="18"/>
        <v>1</v>
      </c>
      <c r="BA114" s="20">
        <f t="shared" si="19"/>
        <v>1</v>
      </c>
      <c r="BB114" s="91">
        <f t="shared" si="20"/>
        <v>4377.85</v>
      </c>
      <c r="BC114" s="87">
        <f t="shared" si="21"/>
        <v>19992.83</v>
      </c>
      <c r="BD114" s="92">
        <f t="shared" si="22"/>
        <v>10.16666667</v>
      </c>
      <c r="BE114" s="89" t="str">
        <f t="shared" si="23"/>
        <v>#VALUE!</v>
      </c>
      <c r="BF114" s="90" t="str">
        <f t="shared" si="24"/>
        <v>#VALUE!</v>
      </c>
      <c r="BH114" s="93">
        <f t="shared" si="25"/>
        <v>19992.83</v>
      </c>
      <c r="BI114" s="94">
        <f t="shared" si="26"/>
        <v>1</v>
      </c>
      <c r="BJ114" s="95" t="str">
        <f t="shared" si="27"/>
        <v>#VALUE!</v>
      </c>
      <c r="BK114" s="96" t="str">
        <f t="shared" si="28"/>
        <v>#VALUE!</v>
      </c>
      <c r="BM114" s="97">
        <f t="shared" si="29"/>
        <v>1</v>
      </c>
    </row>
    <row r="115" ht="12.75" customHeight="1">
      <c r="A115" s="65"/>
      <c r="B115" s="66" t="s">
        <v>258</v>
      </c>
      <c r="C115" s="67">
        <v>42900.0</v>
      </c>
      <c r="D115" s="68">
        <v>3.0</v>
      </c>
      <c r="E115" s="67">
        <v>42592.57</v>
      </c>
      <c r="F115" s="68" t="s">
        <v>56</v>
      </c>
      <c r="G115" s="69">
        <v>40780.0</v>
      </c>
      <c r="H115" s="71" t="s">
        <v>57</v>
      </c>
      <c r="I115" s="69">
        <v>40858.0</v>
      </c>
      <c r="J115" s="71">
        <f t="shared" si="1"/>
        <v>2.6</v>
      </c>
      <c r="K115" s="72" t="s">
        <v>259</v>
      </c>
      <c r="L115" s="72">
        <v>49500.0</v>
      </c>
      <c r="M115" s="73">
        <v>0.0</v>
      </c>
      <c r="N115" s="73">
        <v>5583.7</v>
      </c>
      <c r="O115" s="73">
        <v>660.13</v>
      </c>
      <c r="P115" s="73">
        <f t="shared" si="36"/>
        <v>0</v>
      </c>
      <c r="Q115" s="73">
        <f t="shared" si="35"/>
        <v>0</v>
      </c>
      <c r="R115" s="74">
        <f t="shared" si="4"/>
        <v>0</v>
      </c>
      <c r="S115" s="74">
        <f t="shared" si="5"/>
        <v>1</v>
      </c>
      <c r="T115" s="75"/>
      <c r="V115" s="76"/>
      <c r="W115" s="77"/>
      <c r="X115" s="77"/>
      <c r="Y115" s="77"/>
      <c r="Z115" s="77"/>
      <c r="AA115" s="77"/>
      <c r="AB115" s="78">
        <f t="shared" si="6"/>
        <v>0</v>
      </c>
      <c r="AC115" s="77"/>
      <c r="AD115" s="79"/>
      <c r="AE115" s="80"/>
      <c r="AF115" s="81"/>
      <c r="AG115" s="79"/>
      <c r="AH115" s="80"/>
      <c r="AI115" s="82"/>
      <c r="AJ115" s="82">
        <f t="shared" si="7"/>
        <v>0</v>
      </c>
      <c r="AK115" s="83"/>
      <c r="AL115" s="84">
        <f t="shared" si="8"/>
        <v>0</v>
      </c>
      <c r="AP115" s="85">
        <f t="shared" si="9"/>
        <v>1</v>
      </c>
      <c r="AQ115" s="20">
        <f t="shared" si="10"/>
        <v>1</v>
      </c>
      <c r="AR115" s="20">
        <f t="shared" si="11"/>
        <v>1</v>
      </c>
      <c r="AS115" s="86">
        <f t="shared" si="12"/>
        <v>6243.83</v>
      </c>
      <c r="AT115" s="87">
        <f t="shared" si="13"/>
        <v>42592.57</v>
      </c>
      <c r="AU115" s="88">
        <f t="shared" si="14"/>
        <v>2.6</v>
      </c>
      <c r="AV115" s="89" t="str">
        <f t="shared" si="15"/>
        <v>#VALUE!</v>
      </c>
      <c r="AW115" s="90" t="str">
        <f t="shared" si="16"/>
        <v>#VALUE!</v>
      </c>
      <c r="AY115" s="85">
        <f t="shared" si="17"/>
        <v>0</v>
      </c>
      <c r="AZ115" s="20">
        <f t="shared" si="18"/>
        <v>1</v>
      </c>
      <c r="BA115" s="20">
        <f t="shared" si="19"/>
        <v>0</v>
      </c>
      <c r="BB115" s="91">
        <f t="shared" si="20"/>
        <v>0</v>
      </c>
      <c r="BC115" s="87">
        <f t="shared" si="21"/>
        <v>0</v>
      </c>
      <c r="BD115" s="92">
        <f t="shared" si="22"/>
        <v>0</v>
      </c>
      <c r="BE115" s="89" t="str">
        <f t="shared" si="23"/>
        <v>#VALUE!</v>
      </c>
      <c r="BF115" s="90">
        <f t="shared" si="24"/>
        <v>0</v>
      </c>
      <c r="BH115" s="93">
        <f t="shared" si="25"/>
        <v>42592.57</v>
      </c>
      <c r="BI115" s="94">
        <f t="shared" si="26"/>
        <v>1</v>
      </c>
      <c r="BJ115" s="95" t="str">
        <f t="shared" si="27"/>
        <v>#VALUE!</v>
      </c>
      <c r="BK115" s="96" t="str">
        <f t="shared" si="28"/>
        <v>#VALUE!</v>
      </c>
      <c r="BM115" s="97">
        <f t="shared" si="29"/>
        <v>1</v>
      </c>
    </row>
    <row r="116" ht="12.75" customHeight="1">
      <c r="A116" s="65"/>
      <c r="B116" s="66" t="s">
        <v>260</v>
      </c>
      <c r="C116" s="67">
        <v>29100.0</v>
      </c>
      <c r="D116" s="68">
        <v>12.0</v>
      </c>
      <c r="E116" s="67">
        <v>27906.46</v>
      </c>
      <c r="F116" s="68" t="s">
        <v>56</v>
      </c>
      <c r="G116" s="69">
        <v>40780.0</v>
      </c>
      <c r="H116" s="71" t="s">
        <v>57</v>
      </c>
      <c r="I116" s="69">
        <v>40888.0</v>
      </c>
      <c r="J116" s="71">
        <f t="shared" si="1"/>
        <v>3.6</v>
      </c>
      <c r="K116" s="72" t="s">
        <v>261</v>
      </c>
      <c r="L116" s="72">
        <v>35200.0</v>
      </c>
      <c r="M116" s="73">
        <v>188.25</v>
      </c>
      <c r="N116" s="73">
        <v>7479.11</v>
      </c>
      <c r="O116" s="73">
        <v>548.6</v>
      </c>
      <c r="P116" s="73">
        <f t="shared" si="36"/>
        <v>0</v>
      </c>
      <c r="Q116" s="73">
        <f t="shared" si="35"/>
        <v>922.42</v>
      </c>
      <c r="R116" s="74">
        <f t="shared" si="4"/>
        <v>0.03305399538</v>
      </c>
      <c r="S116" s="74">
        <f t="shared" si="5"/>
        <v>0.9669460046</v>
      </c>
      <c r="T116" s="75"/>
      <c r="V116" s="76"/>
      <c r="W116" s="77"/>
      <c r="X116" s="77"/>
      <c r="Y116" s="77"/>
      <c r="Z116" s="77"/>
      <c r="AA116" s="77"/>
      <c r="AB116" s="78">
        <f t="shared" si="6"/>
        <v>0</v>
      </c>
      <c r="AC116" s="77"/>
      <c r="AD116" s="79"/>
      <c r="AE116" s="80"/>
      <c r="AF116" s="81"/>
      <c r="AG116" s="79"/>
      <c r="AH116" s="80"/>
      <c r="AI116" s="82"/>
      <c r="AJ116" s="82">
        <f t="shared" si="7"/>
        <v>0</v>
      </c>
      <c r="AK116" s="83"/>
      <c r="AL116" s="84">
        <f t="shared" si="8"/>
        <v>0</v>
      </c>
      <c r="AP116" s="85">
        <f t="shared" si="9"/>
        <v>1</v>
      </c>
      <c r="AQ116" s="20">
        <f t="shared" si="10"/>
        <v>1</v>
      </c>
      <c r="AR116" s="20">
        <f t="shared" si="11"/>
        <v>1</v>
      </c>
      <c r="AS116" s="86">
        <f t="shared" si="12"/>
        <v>8027.71</v>
      </c>
      <c r="AT116" s="87">
        <f t="shared" si="13"/>
        <v>27906.46</v>
      </c>
      <c r="AU116" s="88">
        <f t="shared" si="14"/>
        <v>3.6</v>
      </c>
      <c r="AV116" s="89" t="str">
        <f t="shared" si="15"/>
        <v>#VALUE!</v>
      </c>
      <c r="AW116" s="90" t="str">
        <f t="shared" si="16"/>
        <v>#VALUE!</v>
      </c>
      <c r="AY116" s="85">
        <f t="shared" si="17"/>
        <v>0</v>
      </c>
      <c r="AZ116" s="20">
        <f t="shared" si="18"/>
        <v>1</v>
      </c>
      <c r="BA116" s="20">
        <f t="shared" si="19"/>
        <v>0</v>
      </c>
      <c r="BB116" s="91">
        <f t="shared" si="20"/>
        <v>0</v>
      </c>
      <c r="BC116" s="87">
        <f t="shared" si="21"/>
        <v>0</v>
      </c>
      <c r="BD116" s="92">
        <f t="shared" si="22"/>
        <v>0</v>
      </c>
      <c r="BE116" s="89" t="str">
        <f t="shared" si="23"/>
        <v>#VALUE!</v>
      </c>
      <c r="BF116" s="90">
        <f t="shared" si="24"/>
        <v>0</v>
      </c>
      <c r="BH116" s="93">
        <f t="shared" si="25"/>
        <v>27906.46</v>
      </c>
      <c r="BI116" s="94">
        <f t="shared" si="26"/>
        <v>1</v>
      </c>
      <c r="BJ116" s="95" t="str">
        <f t="shared" si="27"/>
        <v>#VALUE!</v>
      </c>
      <c r="BK116" s="96" t="str">
        <f t="shared" si="28"/>
        <v>#VALUE!</v>
      </c>
      <c r="BM116" s="97">
        <f t="shared" si="29"/>
        <v>1</v>
      </c>
    </row>
    <row r="117" ht="12.75" customHeight="1">
      <c r="A117" s="65"/>
      <c r="B117" s="66" t="s">
        <v>262</v>
      </c>
      <c r="C117" s="67">
        <v>18931.72</v>
      </c>
      <c r="D117" s="68">
        <v>12.0</v>
      </c>
      <c r="E117" s="67">
        <v>17852.96</v>
      </c>
      <c r="F117" s="68" t="s">
        <v>64</v>
      </c>
      <c r="G117" s="69">
        <v>40786.0</v>
      </c>
      <c r="H117" s="71" t="s">
        <v>57</v>
      </c>
      <c r="I117" s="69">
        <v>40967.0</v>
      </c>
      <c r="J117" s="71">
        <f t="shared" si="1"/>
        <v>6.033333333</v>
      </c>
      <c r="K117" s="72" t="s">
        <v>263</v>
      </c>
      <c r="L117" s="72">
        <v>26500.0</v>
      </c>
      <c r="M117" s="73">
        <v>553.01</v>
      </c>
      <c r="N117" s="73"/>
      <c r="O117" s="73">
        <v>5303.52</v>
      </c>
      <c r="P117" s="73">
        <f t="shared" si="36"/>
        <v>0</v>
      </c>
      <c r="Q117" s="73">
        <f t="shared" si="35"/>
        <v>0</v>
      </c>
      <c r="R117" s="74">
        <f t="shared" si="4"/>
        <v>0</v>
      </c>
      <c r="S117" s="74">
        <f t="shared" si="5"/>
        <v>1</v>
      </c>
      <c r="T117" s="75"/>
      <c r="V117" s="76"/>
      <c r="W117" s="77"/>
      <c r="X117" s="77"/>
      <c r="Y117" s="77"/>
      <c r="Z117" s="77"/>
      <c r="AA117" s="77"/>
      <c r="AB117" s="78">
        <f t="shared" si="6"/>
        <v>0</v>
      </c>
      <c r="AC117" s="77"/>
      <c r="AD117" s="79"/>
      <c r="AE117" s="80"/>
      <c r="AF117" s="81"/>
      <c r="AG117" s="79"/>
      <c r="AH117" s="80"/>
      <c r="AI117" s="82"/>
      <c r="AJ117" s="82">
        <f t="shared" si="7"/>
        <v>0</v>
      </c>
      <c r="AK117" s="83"/>
      <c r="AL117" s="84">
        <f t="shared" si="8"/>
        <v>0</v>
      </c>
      <c r="AP117" s="85">
        <f t="shared" si="9"/>
        <v>0</v>
      </c>
      <c r="AQ117" s="20">
        <f t="shared" si="10"/>
        <v>1</v>
      </c>
      <c r="AR117" s="20">
        <f t="shared" si="11"/>
        <v>0</v>
      </c>
      <c r="AS117" s="86">
        <f t="shared" si="12"/>
        <v>0</v>
      </c>
      <c r="AT117" s="87">
        <f t="shared" si="13"/>
        <v>0</v>
      </c>
      <c r="AU117" s="88">
        <f t="shared" si="14"/>
        <v>0</v>
      </c>
      <c r="AV117" s="89" t="str">
        <f t="shared" si="15"/>
        <v>#VALUE!</v>
      </c>
      <c r="AW117" s="90">
        <f t="shared" si="16"/>
        <v>0</v>
      </c>
      <c r="AY117" s="85">
        <f t="shared" si="17"/>
        <v>1</v>
      </c>
      <c r="AZ117" s="20">
        <f t="shared" si="18"/>
        <v>1</v>
      </c>
      <c r="BA117" s="20">
        <f t="shared" si="19"/>
        <v>1</v>
      </c>
      <c r="BB117" s="91">
        <f t="shared" si="20"/>
        <v>5303.52</v>
      </c>
      <c r="BC117" s="87">
        <f t="shared" si="21"/>
        <v>17852.96</v>
      </c>
      <c r="BD117" s="92">
        <f t="shared" si="22"/>
        <v>6.033333333</v>
      </c>
      <c r="BE117" s="89" t="str">
        <f t="shared" si="23"/>
        <v>#VALUE!</v>
      </c>
      <c r="BF117" s="90" t="str">
        <f t="shared" si="24"/>
        <v>#VALUE!</v>
      </c>
      <c r="BH117" s="93">
        <f t="shared" si="25"/>
        <v>17852.96</v>
      </c>
      <c r="BI117" s="94">
        <f t="shared" si="26"/>
        <v>1</v>
      </c>
      <c r="BJ117" s="95" t="str">
        <f t="shared" si="27"/>
        <v>#VALUE!</v>
      </c>
      <c r="BK117" s="96" t="str">
        <f t="shared" si="28"/>
        <v>#VALUE!</v>
      </c>
      <c r="BM117" s="97">
        <f t="shared" si="29"/>
        <v>1</v>
      </c>
    </row>
    <row r="118" ht="12.75" customHeight="1">
      <c r="A118" s="65"/>
      <c r="B118" s="66" t="s">
        <v>264</v>
      </c>
      <c r="C118" s="67">
        <v>24681.3</v>
      </c>
      <c r="D118" s="68">
        <v>13.0</v>
      </c>
      <c r="E118" s="67">
        <v>21541.97</v>
      </c>
      <c r="F118" s="68" t="s">
        <v>64</v>
      </c>
      <c r="G118" s="69">
        <v>40797.0</v>
      </c>
      <c r="H118" s="71" t="s">
        <v>57</v>
      </c>
      <c r="I118" s="69">
        <v>40939.0</v>
      </c>
      <c r="J118" s="71">
        <f t="shared" si="1"/>
        <v>4.733333333</v>
      </c>
      <c r="K118" s="72" t="s">
        <v>265</v>
      </c>
      <c r="L118" s="72">
        <v>38000.0</v>
      </c>
      <c r="M118" s="73">
        <v>223.83</v>
      </c>
      <c r="N118" s="73"/>
      <c r="O118" s="73">
        <v>4557.12</v>
      </c>
      <c r="P118" s="73">
        <f t="shared" si="36"/>
        <v>0</v>
      </c>
      <c r="Q118" s="73">
        <f t="shared" si="35"/>
        <v>0</v>
      </c>
      <c r="R118" s="74">
        <f t="shared" si="4"/>
        <v>0</v>
      </c>
      <c r="S118" s="74">
        <f t="shared" si="5"/>
        <v>1</v>
      </c>
      <c r="T118" s="75"/>
      <c r="V118" s="76"/>
      <c r="W118" s="77"/>
      <c r="X118" s="77"/>
      <c r="Y118" s="77"/>
      <c r="Z118" s="77"/>
      <c r="AA118" s="77"/>
      <c r="AB118" s="78">
        <f t="shared" si="6"/>
        <v>0</v>
      </c>
      <c r="AC118" s="77"/>
      <c r="AD118" s="79"/>
      <c r="AE118" s="80"/>
      <c r="AF118" s="81"/>
      <c r="AG118" s="79"/>
      <c r="AH118" s="80"/>
      <c r="AI118" s="82"/>
      <c r="AJ118" s="82">
        <f t="shared" si="7"/>
        <v>0</v>
      </c>
      <c r="AK118" s="83"/>
      <c r="AL118" s="84">
        <f t="shared" si="8"/>
        <v>0</v>
      </c>
      <c r="AP118" s="85">
        <f t="shared" si="9"/>
        <v>0</v>
      </c>
      <c r="AQ118" s="20">
        <f t="shared" si="10"/>
        <v>1</v>
      </c>
      <c r="AR118" s="20">
        <f t="shared" si="11"/>
        <v>0</v>
      </c>
      <c r="AS118" s="86">
        <f t="shared" si="12"/>
        <v>0</v>
      </c>
      <c r="AT118" s="87">
        <f t="shared" si="13"/>
        <v>0</v>
      </c>
      <c r="AU118" s="88">
        <f t="shared" si="14"/>
        <v>0</v>
      </c>
      <c r="AV118" s="89" t="str">
        <f t="shared" si="15"/>
        <v>#VALUE!</v>
      </c>
      <c r="AW118" s="90">
        <f t="shared" si="16"/>
        <v>0</v>
      </c>
      <c r="AY118" s="85">
        <f t="shared" si="17"/>
        <v>1</v>
      </c>
      <c r="AZ118" s="20">
        <f t="shared" si="18"/>
        <v>1</v>
      </c>
      <c r="BA118" s="20">
        <f t="shared" si="19"/>
        <v>1</v>
      </c>
      <c r="BB118" s="91">
        <f t="shared" si="20"/>
        <v>4557.12</v>
      </c>
      <c r="BC118" s="87">
        <f t="shared" si="21"/>
        <v>21541.97</v>
      </c>
      <c r="BD118" s="92">
        <f t="shared" si="22"/>
        <v>4.733333333</v>
      </c>
      <c r="BE118" s="89" t="str">
        <f t="shared" si="23"/>
        <v>#VALUE!</v>
      </c>
      <c r="BF118" s="90" t="str">
        <f t="shared" si="24"/>
        <v>#VALUE!</v>
      </c>
      <c r="BH118" s="93">
        <f t="shared" si="25"/>
        <v>21541.97</v>
      </c>
      <c r="BI118" s="94">
        <f t="shared" si="26"/>
        <v>1</v>
      </c>
      <c r="BJ118" s="95" t="str">
        <f t="shared" si="27"/>
        <v>#VALUE!</v>
      </c>
      <c r="BK118" s="96" t="str">
        <f t="shared" si="28"/>
        <v>#VALUE!</v>
      </c>
      <c r="BM118" s="97">
        <f t="shared" si="29"/>
        <v>1</v>
      </c>
    </row>
    <row r="119" ht="12.75" customHeight="1">
      <c r="A119" s="65"/>
      <c r="B119" s="66" t="s">
        <v>266</v>
      </c>
      <c r="C119" s="67">
        <v>19116.38</v>
      </c>
      <c r="D119" s="68">
        <v>13.0</v>
      </c>
      <c r="E119" s="67">
        <v>17154.62</v>
      </c>
      <c r="F119" s="68" t="s">
        <v>64</v>
      </c>
      <c r="G119" s="69">
        <v>40797.0</v>
      </c>
      <c r="H119" s="71" t="s">
        <v>57</v>
      </c>
      <c r="I119" s="69">
        <v>40999.0</v>
      </c>
      <c r="J119" s="71">
        <f t="shared" si="1"/>
        <v>6.733333333</v>
      </c>
      <c r="K119" s="72" t="s">
        <v>267</v>
      </c>
      <c r="L119" s="72">
        <v>27500.0</v>
      </c>
      <c r="M119" s="73">
        <v>385.37</v>
      </c>
      <c r="N119" s="73"/>
      <c r="O119" s="73">
        <v>309.25</v>
      </c>
      <c r="P119" s="73">
        <f t="shared" si="36"/>
        <v>0</v>
      </c>
      <c r="Q119" s="73">
        <f t="shared" si="35"/>
        <v>0</v>
      </c>
      <c r="R119" s="74">
        <f t="shared" si="4"/>
        <v>0</v>
      </c>
      <c r="S119" s="74">
        <f t="shared" si="5"/>
        <v>1</v>
      </c>
      <c r="T119" s="75"/>
      <c r="V119" s="76"/>
      <c r="W119" s="77"/>
      <c r="X119" s="77"/>
      <c r="Y119" s="77"/>
      <c r="Z119" s="77"/>
      <c r="AA119" s="77"/>
      <c r="AB119" s="78">
        <f t="shared" si="6"/>
        <v>0</v>
      </c>
      <c r="AC119" s="77"/>
      <c r="AD119" s="79"/>
      <c r="AE119" s="80"/>
      <c r="AF119" s="81"/>
      <c r="AG119" s="79"/>
      <c r="AH119" s="80"/>
      <c r="AI119" s="82"/>
      <c r="AJ119" s="82">
        <f t="shared" si="7"/>
        <v>0</v>
      </c>
      <c r="AK119" s="83"/>
      <c r="AL119" s="84">
        <f t="shared" si="8"/>
        <v>0</v>
      </c>
      <c r="AP119" s="85">
        <f t="shared" si="9"/>
        <v>0</v>
      </c>
      <c r="AQ119" s="20">
        <f t="shared" si="10"/>
        <v>1</v>
      </c>
      <c r="AR119" s="20">
        <f t="shared" si="11"/>
        <v>0</v>
      </c>
      <c r="AS119" s="86">
        <f t="shared" si="12"/>
        <v>0</v>
      </c>
      <c r="AT119" s="87">
        <f t="shared" si="13"/>
        <v>0</v>
      </c>
      <c r="AU119" s="88">
        <f t="shared" si="14"/>
        <v>0</v>
      </c>
      <c r="AV119" s="89" t="str">
        <f t="shared" si="15"/>
        <v>#VALUE!</v>
      </c>
      <c r="AW119" s="90">
        <f t="shared" si="16"/>
        <v>0</v>
      </c>
      <c r="AY119" s="85">
        <f t="shared" si="17"/>
        <v>1</v>
      </c>
      <c r="AZ119" s="20">
        <f t="shared" si="18"/>
        <v>1</v>
      </c>
      <c r="BA119" s="20">
        <f t="shared" si="19"/>
        <v>1</v>
      </c>
      <c r="BB119" s="91">
        <f t="shared" si="20"/>
        <v>309.25</v>
      </c>
      <c r="BC119" s="87">
        <f t="shared" si="21"/>
        <v>17154.62</v>
      </c>
      <c r="BD119" s="92">
        <f t="shared" si="22"/>
        <v>6.733333333</v>
      </c>
      <c r="BE119" s="89" t="str">
        <f t="shared" si="23"/>
        <v>#VALUE!</v>
      </c>
      <c r="BF119" s="90" t="str">
        <f t="shared" si="24"/>
        <v>#VALUE!</v>
      </c>
      <c r="BH119" s="93">
        <f t="shared" si="25"/>
        <v>17154.62</v>
      </c>
      <c r="BI119" s="94">
        <f t="shared" si="26"/>
        <v>1</v>
      </c>
      <c r="BJ119" s="95" t="str">
        <f t="shared" si="27"/>
        <v>#VALUE!</v>
      </c>
      <c r="BK119" s="96" t="str">
        <f t="shared" si="28"/>
        <v>#VALUE!</v>
      </c>
      <c r="BM119" s="97">
        <f t="shared" si="29"/>
        <v>1</v>
      </c>
    </row>
    <row r="120" ht="12.75" customHeight="1">
      <c r="A120" s="65"/>
      <c r="B120" s="66" t="s">
        <v>268</v>
      </c>
      <c r="C120" s="67">
        <v>40452.51</v>
      </c>
      <c r="D120" s="68">
        <v>13.0</v>
      </c>
      <c r="E120" s="67">
        <f>27678.14+12318.97</f>
        <v>39997.11</v>
      </c>
      <c r="F120" s="68" t="s">
        <v>56</v>
      </c>
      <c r="G120" s="69">
        <v>40816.0</v>
      </c>
      <c r="H120" s="71" t="s">
        <v>57</v>
      </c>
      <c r="I120" s="69">
        <v>41030.0</v>
      </c>
      <c r="J120" s="71">
        <f t="shared" si="1"/>
        <v>7.133333333</v>
      </c>
      <c r="K120" s="72" t="s">
        <v>181</v>
      </c>
      <c r="L120" s="72">
        <v>60000.0</v>
      </c>
      <c r="M120" s="73">
        <v>1448.39</v>
      </c>
      <c r="N120" s="73">
        <v>5120.04</v>
      </c>
      <c r="O120" s="73">
        <v>0.0</v>
      </c>
      <c r="P120" s="73">
        <v>1618.2</v>
      </c>
      <c r="Q120" s="73">
        <f t="shared" si="35"/>
        <v>0</v>
      </c>
      <c r="R120" s="74">
        <f t="shared" si="4"/>
        <v>0</v>
      </c>
      <c r="S120" s="74">
        <f t="shared" si="5"/>
        <v>1</v>
      </c>
      <c r="T120" s="75"/>
      <c r="V120" s="76"/>
      <c r="W120" s="77"/>
      <c r="X120" s="77"/>
      <c r="Y120" s="77"/>
      <c r="Z120" s="77"/>
      <c r="AA120" s="77"/>
      <c r="AB120" s="78">
        <f t="shared" si="6"/>
        <v>0</v>
      </c>
      <c r="AC120" s="77"/>
      <c r="AD120" s="79"/>
      <c r="AE120" s="80"/>
      <c r="AF120" s="81"/>
      <c r="AG120" s="79"/>
      <c r="AH120" s="80"/>
      <c r="AI120" s="82"/>
      <c r="AJ120" s="82">
        <f t="shared" si="7"/>
        <v>0</v>
      </c>
      <c r="AK120" s="83"/>
      <c r="AL120" s="84">
        <f t="shared" si="8"/>
        <v>0</v>
      </c>
      <c r="AP120" s="85">
        <f t="shared" si="9"/>
        <v>1</v>
      </c>
      <c r="AQ120" s="20">
        <f t="shared" si="10"/>
        <v>1</v>
      </c>
      <c r="AR120" s="20">
        <f t="shared" si="11"/>
        <v>1</v>
      </c>
      <c r="AS120" s="86">
        <f t="shared" si="12"/>
        <v>5120.04</v>
      </c>
      <c r="AT120" s="87">
        <f t="shared" si="13"/>
        <v>39997.11</v>
      </c>
      <c r="AU120" s="88">
        <f t="shared" si="14"/>
        <v>7.133333333</v>
      </c>
      <c r="AV120" s="89" t="str">
        <f t="shared" si="15"/>
        <v>#VALUE!</v>
      </c>
      <c r="AW120" s="90" t="str">
        <f t="shared" si="16"/>
        <v>#VALUE!</v>
      </c>
      <c r="AY120" s="85">
        <f t="shared" si="17"/>
        <v>0</v>
      </c>
      <c r="AZ120" s="20">
        <f t="shared" si="18"/>
        <v>1</v>
      </c>
      <c r="BA120" s="20">
        <f t="shared" si="19"/>
        <v>0</v>
      </c>
      <c r="BB120" s="91">
        <f t="shared" si="20"/>
        <v>0</v>
      </c>
      <c r="BC120" s="87">
        <f t="shared" si="21"/>
        <v>0</v>
      </c>
      <c r="BD120" s="92">
        <f t="shared" si="22"/>
        <v>0</v>
      </c>
      <c r="BE120" s="89" t="str">
        <f t="shared" si="23"/>
        <v>#VALUE!</v>
      </c>
      <c r="BF120" s="90">
        <f t="shared" si="24"/>
        <v>0</v>
      </c>
      <c r="BH120" s="93">
        <f t="shared" si="25"/>
        <v>39997.11</v>
      </c>
      <c r="BI120" s="94">
        <f t="shared" si="26"/>
        <v>1</v>
      </c>
      <c r="BJ120" s="95" t="str">
        <f t="shared" si="27"/>
        <v>#VALUE!</v>
      </c>
      <c r="BK120" s="96" t="str">
        <f t="shared" si="28"/>
        <v>#VALUE!</v>
      </c>
      <c r="BM120" s="97">
        <f t="shared" si="29"/>
        <v>1</v>
      </c>
    </row>
    <row r="121" ht="12.75" customHeight="1">
      <c r="A121" s="65"/>
      <c r="B121" s="66" t="s">
        <v>269</v>
      </c>
      <c r="C121" s="67">
        <v>19562.4</v>
      </c>
      <c r="D121" s="68">
        <v>13.0</v>
      </c>
      <c r="E121" s="67">
        <v>18202.47</v>
      </c>
      <c r="F121" s="68" t="s">
        <v>56</v>
      </c>
      <c r="G121" s="69">
        <v>40828.0</v>
      </c>
      <c r="H121" s="71" t="s">
        <v>57</v>
      </c>
      <c r="I121" s="69">
        <v>40888.0</v>
      </c>
      <c r="J121" s="71">
        <f t="shared" si="1"/>
        <v>2</v>
      </c>
      <c r="K121" s="72" t="s">
        <v>270</v>
      </c>
      <c r="L121" s="72">
        <v>28000.0</v>
      </c>
      <c r="M121" s="73">
        <v>757.77</v>
      </c>
      <c r="N121" s="73">
        <v>3305.31</v>
      </c>
      <c r="O121" s="73">
        <v>2940.83</v>
      </c>
      <c r="P121" s="73">
        <f t="shared" ref="P121:P136" si="37">IF(L121="N/A",0,IF(L121-E121&gt;0,0,E121-L121))</f>
        <v>0</v>
      </c>
      <c r="Q121" s="73">
        <f t="shared" si="35"/>
        <v>0</v>
      </c>
      <c r="R121" s="74">
        <f t="shared" si="4"/>
        <v>0</v>
      </c>
      <c r="S121" s="74">
        <f t="shared" si="5"/>
        <v>1</v>
      </c>
      <c r="T121" s="75"/>
      <c r="V121" s="76"/>
      <c r="W121" s="77"/>
      <c r="X121" s="77"/>
      <c r="Y121" s="77"/>
      <c r="Z121" s="77"/>
      <c r="AA121" s="77"/>
      <c r="AB121" s="78">
        <f t="shared" si="6"/>
        <v>0</v>
      </c>
      <c r="AC121" s="77"/>
      <c r="AD121" s="79"/>
      <c r="AE121" s="80"/>
      <c r="AF121" s="81"/>
      <c r="AG121" s="79"/>
      <c r="AH121" s="80"/>
      <c r="AI121" s="82"/>
      <c r="AJ121" s="82">
        <f t="shared" si="7"/>
        <v>0</v>
      </c>
      <c r="AK121" s="83"/>
      <c r="AL121" s="84">
        <f t="shared" si="8"/>
        <v>0</v>
      </c>
      <c r="AP121" s="85">
        <f t="shared" si="9"/>
        <v>1</v>
      </c>
      <c r="AQ121" s="20">
        <f t="shared" si="10"/>
        <v>1</v>
      </c>
      <c r="AR121" s="20">
        <f t="shared" si="11"/>
        <v>1</v>
      </c>
      <c r="AS121" s="86">
        <f t="shared" si="12"/>
        <v>6246.14</v>
      </c>
      <c r="AT121" s="87">
        <f t="shared" si="13"/>
        <v>18202.47</v>
      </c>
      <c r="AU121" s="88">
        <f t="shared" si="14"/>
        <v>2</v>
      </c>
      <c r="AV121" s="89" t="str">
        <f t="shared" si="15"/>
        <v>#VALUE!</v>
      </c>
      <c r="AW121" s="90" t="str">
        <f t="shared" si="16"/>
        <v>#VALUE!</v>
      </c>
      <c r="AY121" s="85">
        <f t="shared" si="17"/>
        <v>0</v>
      </c>
      <c r="AZ121" s="20">
        <f t="shared" si="18"/>
        <v>1</v>
      </c>
      <c r="BA121" s="20">
        <f t="shared" si="19"/>
        <v>0</v>
      </c>
      <c r="BB121" s="91">
        <f t="shared" si="20"/>
        <v>0</v>
      </c>
      <c r="BC121" s="87">
        <f t="shared" si="21"/>
        <v>0</v>
      </c>
      <c r="BD121" s="92">
        <f t="shared" si="22"/>
        <v>0</v>
      </c>
      <c r="BE121" s="89" t="str">
        <f t="shared" si="23"/>
        <v>#VALUE!</v>
      </c>
      <c r="BF121" s="90">
        <f t="shared" si="24"/>
        <v>0</v>
      </c>
      <c r="BH121" s="93">
        <f t="shared" si="25"/>
        <v>18202.47</v>
      </c>
      <c r="BI121" s="94">
        <f t="shared" si="26"/>
        <v>1</v>
      </c>
      <c r="BJ121" s="95" t="str">
        <f t="shared" si="27"/>
        <v>#VALUE!</v>
      </c>
      <c r="BK121" s="96" t="str">
        <f t="shared" si="28"/>
        <v>#VALUE!</v>
      </c>
      <c r="BM121" s="97">
        <f t="shared" si="29"/>
        <v>1</v>
      </c>
    </row>
    <row r="122" ht="12.75" customHeight="1">
      <c r="A122" s="65"/>
      <c r="B122" s="66" t="s">
        <v>271</v>
      </c>
      <c r="C122" s="67">
        <v>19562.4</v>
      </c>
      <c r="D122" s="68">
        <v>13.0</v>
      </c>
      <c r="E122" s="67">
        <v>16946.79</v>
      </c>
      <c r="F122" s="68" t="s">
        <v>64</v>
      </c>
      <c r="G122" s="69">
        <v>40858.0</v>
      </c>
      <c r="H122" s="71" t="s">
        <v>57</v>
      </c>
      <c r="I122" s="69">
        <v>41090.0</v>
      </c>
      <c r="J122" s="71">
        <f t="shared" si="1"/>
        <v>7.733333333</v>
      </c>
      <c r="K122" s="72" t="s">
        <v>272</v>
      </c>
      <c r="L122" s="72">
        <v>26068.0</v>
      </c>
      <c r="M122" s="73">
        <v>311.06</v>
      </c>
      <c r="N122" s="73"/>
      <c r="O122" s="73"/>
      <c r="P122" s="73">
        <f t="shared" si="37"/>
        <v>0</v>
      </c>
      <c r="Q122" s="73">
        <f t="shared" si="35"/>
        <v>0</v>
      </c>
      <c r="R122" s="74">
        <f t="shared" si="4"/>
        <v>0</v>
      </c>
      <c r="S122" s="74">
        <f t="shared" si="5"/>
        <v>1</v>
      </c>
      <c r="T122" s="75"/>
      <c r="V122" s="76"/>
      <c r="W122" s="77"/>
      <c r="X122" s="77"/>
      <c r="Y122" s="77"/>
      <c r="Z122" s="77"/>
      <c r="AA122" s="77"/>
      <c r="AB122" s="78">
        <f t="shared" si="6"/>
        <v>0</v>
      </c>
      <c r="AC122" s="77"/>
      <c r="AD122" s="79"/>
      <c r="AE122" s="80"/>
      <c r="AF122" s="81"/>
      <c r="AG122" s="79"/>
      <c r="AH122" s="80"/>
      <c r="AI122" s="82"/>
      <c r="AJ122" s="82">
        <f t="shared" si="7"/>
        <v>0</v>
      </c>
      <c r="AK122" s="83"/>
      <c r="AL122" s="84">
        <f t="shared" si="8"/>
        <v>0</v>
      </c>
      <c r="AP122" s="85">
        <f t="shared" si="9"/>
        <v>0</v>
      </c>
      <c r="AQ122" s="20">
        <f t="shared" si="10"/>
        <v>1</v>
      </c>
      <c r="AR122" s="20">
        <f t="shared" si="11"/>
        <v>0</v>
      </c>
      <c r="AS122" s="86">
        <f t="shared" si="12"/>
        <v>0</v>
      </c>
      <c r="AT122" s="87">
        <f t="shared" si="13"/>
        <v>0</v>
      </c>
      <c r="AU122" s="88">
        <f t="shared" si="14"/>
        <v>0</v>
      </c>
      <c r="AV122" s="89" t="str">
        <f t="shared" si="15"/>
        <v>#VALUE!</v>
      </c>
      <c r="AW122" s="90">
        <f t="shared" si="16"/>
        <v>0</v>
      </c>
      <c r="AY122" s="85">
        <f t="shared" si="17"/>
        <v>1</v>
      </c>
      <c r="AZ122" s="20">
        <f t="shared" si="18"/>
        <v>1</v>
      </c>
      <c r="BA122" s="20">
        <f t="shared" si="19"/>
        <v>1</v>
      </c>
      <c r="BB122" s="91">
        <f t="shared" si="20"/>
        <v>0</v>
      </c>
      <c r="BC122" s="87">
        <f t="shared" si="21"/>
        <v>16946.79</v>
      </c>
      <c r="BD122" s="92">
        <f t="shared" si="22"/>
        <v>7.733333333</v>
      </c>
      <c r="BE122" s="89" t="str">
        <f t="shared" si="23"/>
        <v>#VALUE!</v>
      </c>
      <c r="BF122" s="90" t="str">
        <f t="shared" si="24"/>
        <v>#VALUE!</v>
      </c>
      <c r="BH122" s="93">
        <f t="shared" si="25"/>
        <v>16946.79</v>
      </c>
      <c r="BI122" s="94">
        <f t="shared" si="26"/>
        <v>1</v>
      </c>
      <c r="BJ122" s="95" t="str">
        <f t="shared" si="27"/>
        <v>#VALUE!</v>
      </c>
      <c r="BK122" s="96" t="str">
        <f t="shared" si="28"/>
        <v>#VALUE!</v>
      </c>
      <c r="BM122" s="97">
        <f t="shared" si="29"/>
        <v>1</v>
      </c>
    </row>
    <row r="123" ht="12.75" customHeight="1">
      <c r="A123" s="65"/>
      <c r="B123" s="66" t="s">
        <v>273</v>
      </c>
      <c r="C123" s="67">
        <v>33170.05</v>
      </c>
      <c r="D123" s="68">
        <v>13.0</v>
      </c>
      <c r="E123" s="67">
        <f>30906.15-7479.39</f>
        <v>23426.76</v>
      </c>
      <c r="F123" s="68" t="s">
        <v>56</v>
      </c>
      <c r="G123" s="69">
        <v>40870.0</v>
      </c>
      <c r="H123" s="71" t="s">
        <v>57</v>
      </c>
      <c r="I123" s="69">
        <v>40939.0</v>
      </c>
      <c r="J123" s="71">
        <f t="shared" si="1"/>
        <v>2.3</v>
      </c>
      <c r="K123" s="72" t="s">
        <v>274</v>
      </c>
      <c r="L123" s="72">
        <v>37700.0</v>
      </c>
      <c r="M123" s="73">
        <v>155.86</v>
      </c>
      <c r="N123" s="73">
        <v>11428.5</v>
      </c>
      <c r="O123" s="73">
        <v>2536.42</v>
      </c>
      <c r="P123" s="73">
        <f t="shared" si="37"/>
        <v>0</v>
      </c>
      <c r="Q123" s="73">
        <f t="shared" si="35"/>
        <v>0</v>
      </c>
      <c r="R123" s="74">
        <f t="shared" si="4"/>
        <v>0</v>
      </c>
      <c r="S123" s="74">
        <f t="shared" si="5"/>
        <v>1</v>
      </c>
      <c r="T123" s="75"/>
      <c r="V123" s="76"/>
      <c r="W123" s="77"/>
      <c r="X123" s="77"/>
      <c r="Y123" s="77"/>
      <c r="Z123" s="77"/>
      <c r="AA123" s="77"/>
      <c r="AB123" s="78">
        <f t="shared" si="6"/>
        <v>0</v>
      </c>
      <c r="AC123" s="77"/>
      <c r="AD123" s="79"/>
      <c r="AE123" s="80"/>
      <c r="AF123" s="81"/>
      <c r="AG123" s="79"/>
      <c r="AH123" s="80"/>
      <c r="AI123" s="82"/>
      <c r="AJ123" s="82">
        <f t="shared" si="7"/>
        <v>0</v>
      </c>
      <c r="AK123" s="83"/>
      <c r="AL123" s="84">
        <f t="shared" si="8"/>
        <v>0</v>
      </c>
      <c r="AP123" s="85">
        <f t="shared" si="9"/>
        <v>1</v>
      </c>
      <c r="AQ123" s="20">
        <f t="shared" si="10"/>
        <v>1</v>
      </c>
      <c r="AR123" s="20">
        <f t="shared" si="11"/>
        <v>1</v>
      </c>
      <c r="AS123" s="86">
        <f t="shared" si="12"/>
        <v>13964.92</v>
      </c>
      <c r="AT123" s="87">
        <f t="shared" si="13"/>
        <v>23426.76</v>
      </c>
      <c r="AU123" s="88">
        <f t="shared" si="14"/>
        <v>2.3</v>
      </c>
      <c r="AV123" s="89" t="str">
        <f t="shared" si="15"/>
        <v>#VALUE!</v>
      </c>
      <c r="AW123" s="90" t="str">
        <f t="shared" si="16"/>
        <v>#VALUE!</v>
      </c>
      <c r="AY123" s="85">
        <f t="shared" si="17"/>
        <v>0</v>
      </c>
      <c r="AZ123" s="20">
        <f t="shared" si="18"/>
        <v>1</v>
      </c>
      <c r="BA123" s="20">
        <f t="shared" si="19"/>
        <v>0</v>
      </c>
      <c r="BB123" s="91">
        <f t="shared" si="20"/>
        <v>0</v>
      </c>
      <c r="BC123" s="87">
        <f t="shared" si="21"/>
        <v>0</v>
      </c>
      <c r="BD123" s="92">
        <f t="shared" si="22"/>
        <v>0</v>
      </c>
      <c r="BE123" s="89" t="str">
        <f t="shared" si="23"/>
        <v>#VALUE!</v>
      </c>
      <c r="BF123" s="90">
        <f t="shared" si="24"/>
        <v>0</v>
      </c>
      <c r="BH123" s="93">
        <f t="shared" si="25"/>
        <v>23426.76</v>
      </c>
      <c r="BI123" s="94">
        <f t="shared" si="26"/>
        <v>1</v>
      </c>
      <c r="BJ123" s="95" t="str">
        <f t="shared" si="27"/>
        <v>#VALUE!</v>
      </c>
      <c r="BK123" s="96" t="str">
        <f t="shared" si="28"/>
        <v>#VALUE!</v>
      </c>
      <c r="BM123" s="97">
        <f t="shared" si="29"/>
        <v>1</v>
      </c>
    </row>
    <row r="124" ht="12.75" customHeight="1">
      <c r="A124" s="65"/>
      <c r="B124" s="66" t="s">
        <v>275</v>
      </c>
      <c r="C124" s="67">
        <v>35100.0</v>
      </c>
      <c r="D124" s="68">
        <v>13.0</v>
      </c>
      <c r="E124" s="67">
        <v>33342.54</v>
      </c>
      <c r="F124" s="68" t="s">
        <v>64</v>
      </c>
      <c r="G124" s="69">
        <v>40999.0</v>
      </c>
      <c r="H124" s="71" t="s">
        <v>57</v>
      </c>
      <c r="I124" s="69">
        <v>41061.0</v>
      </c>
      <c r="J124" s="71">
        <f t="shared" si="1"/>
        <v>2.066666667</v>
      </c>
      <c r="K124" s="72" t="s">
        <v>276</v>
      </c>
      <c r="L124" s="72">
        <v>48000.0</v>
      </c>
      <c r="M124" s="73">
        <v>855.46</v>
      </c>
      <c r="N124" s="73"/>
      <c r="O124" s="73">
        <v>7036.8</v>
      </c>
      <c r="P124" s="73">
        <f t="shared" si="37"/>
        <v>0</v>
      </c>
      <c r="Q124" s="73">
        <f t="shared" si="35"/>
        <v>0</v>
      </c>
      <c r="R124" s="74">
        <f t="shared" si="4"/>
        <v>0</v>
      </c>
      <c r="S124" s="74">
        <f t="shared" si="5"/>
        <v>1</v>
      </c>
      <c r="T124" s="75"/>
      <c r="V124" s="76"/>
      <c r="W124" s="77"/>
      <c r="X124" s="77"/>
      <c r="Y124" s="77"/>
      <c r="Z124" s="77"/>
      <c r="AA124" s="77"/>
      <c r="AB124" s="78">
        <f t="shared" si="6"/>
        <v>0</v>
      </c>
      <c r="AC124" s="77"/>
      <c r="AD124" s="79"/>
      <c r="AE124" s="80"/>
      <c r="AF124" s="81"/>
      <c r="AG124" s="79"/>
      <c r="AH124" s="80"/>
      <c r="AI124" s="82"/>
      <c r="AJ124" s="82">
        <f t="shared" si="7"/>
        <v>0</v>
      </c>
      <c r="AK124" s="83"/>
      <c r="AL124" s="84">
        <f t="shared" si="8"/>
        <v>0</v>
      </c>
      <c r="AP124" s="85">
        <f t="shared" si="9"/>
        <v>0</v>
      </c>
      <c r="AQ124" s="20">
        <f t="shared" si="10"/>
        <v>1</v>
      </c>
      <c r="AR124" s="20">
        <f t="shared" si="11"/>
        <v>0</v>
      </c>
      <c r="AS124" s="86">
        <f t="shared" si="12"/>
        <v>0</v>
      </c>
      <c r="AT124" s="87">
        <f t="shared" si="13"/>
        <v>0</v>
      </c>
      <c r="AU124" s="88">
        <f t="shared" si="14"/>
        <v>0</v>
      </c>
      <c r="AV124" s="89" t="str">
        <f t="shared" si="15"/>
        <v>#VALUE!</v>
      </c>
      <c r="AW124" s="90">
        <f t="shared" si="16"/>
        <v>0</v>
      </c>
      <c r="AY124" s="85">
        <f t="shared" si="17"/>
        <v>1</v>
      </c>
      <c r="AZ124" s="20">
        <f t="shared" si="18"/>
        <v>1</v>
      </c>
      <c r="BA124" s="20">
        <f t="shared" si="19"/>
        <v>1</v>
      </c>
      <c r="BB124" s="91">
        <f t="shared" si="20"/>
        <v>7036.8</v>
      </c>
      <c r="BC124" s="87">
        <f t="shared" si="21"/>
        <v>33342.54</v>
      </c>
      <c r="BD124" s="92">
        <f t="shared" si="22"/>
        <v>2.066666667</v>
      </c>
      <c r="BE124" s="89" t="str">
        <f t="shared" si="23"/>
        <v>#VALUE!</v>
      </c>
      <c r="BF124" s="90" t="str">
        <f t="shared" si="24"/>
        <v>#VALUE!</v>
      </c>
      <c r="BH124" s="93">
        <f t="shared" si="25"/>
        <v>33342.54</v>
      </c>
      <c r="BI124" s="94">
        <f t="shared" si="26"/>
        <v>1</v>
      </c>
      <c r="BJ124" s="95" t="str">
        <f t="shared" si="27"/>
        <v>#VALUE!</v>
      </c>
      <c r="BK124" s="96" t="str">
        <f t="shared" si="28"/>
        <v>#VALUE!</v>
      </c>
      <c r="BM124" s="97">
        <f t="shared" si="29"/>
        <v>1</v>
      </c>
    </row>
    <row r="125" ht="12.75" customHeight="1">
      <c r="A125" s="65"/>
      <c r="B125" s="66" t="s">
        <v>277</v>
      </c>
      <c r="C125" s="67">
        <v>31038.0</v>
      </c>
      <c r="D125" s="68">
        <v>13.0</v>
      </c>
      <c r="E125" s="67">
        <v>27270.51</v>
      </c>
      <c r="F125" s="68" t="s">
        <v>64</v>
      </c>
      <c r="G125" s="69">
        <v>40999.0</v>
      </c>
      <c r="H125" s="71" t="s">
        <v>57</v>
      </c>
      <c r="I125" s="69">
        <v>41088.0</v>
      </c>
      <c r="J125" s="71">
        <f t="shared" si="1"/>
        <v>2.966666667</v>
      </c>
      <c r="K125" s="72" t="s">
        <v>278</v>
      </c>
      <c r="L125" s="72">
        <v>52000.0</v>
      </c>
      <c r="M125" s="73">
        <v>1728.15</v>
      </c>
      <c r="N125" s="73"/>
      <c r="O125" s="73">
        <v>4477.65</v>
      </c>
      <c r="P125" s="73">
        <f t="shared" si="37"/>
        <v>0</v>
      </c>
      <c r="Q125" s="73">
        <f t="shared" si="35"/>
        <v>0</v>
      </c>
      <c r="R125" s="74">
        <f t="shared" si="4"/>
        <v>0</v>
      </c>
      <c r="S125" s="74">
        <f t="shared" si="5"/>
        <v>1</v>
      </c>
      <c r="T125" s="75"/>
      <c r="V125" s="76"/>
      <c r="W125" s="77"/>
      <c r="X125" s="77"/>
      <c r="Y125" s="77"/>
      <c r="Z125" s="77"/>
      <c r="AA125" s="77"/>
      <c r="AB125" s="78">
        <f t="shared" si="6"/>
        <v>0</v>
      </c>
      <c r="AC125" s="77"/>
      <c r="AD125" s="79"/>
      <c r="AE125" s="80"/>
      <c r="AF125" s="81"/>
      <c r="AG125" s="79"/>
      <c r="AH125" s="80"/>
      <c r="AI125" s="82"/>
      <c r="AJ125" s="82">
        <f t="shared" si="7"/>
        <v>0</v>
      </c>
      <c r="AK125" s="83"/>
      <c r="AL125" s="84">
        <f t="shared" si="8"/>
        <v>0</v>
      </c>
      <c r="AP125" s="85">
        <f t="shared" si="9"/>
        <v>0</v>
      </c>
      <c r="AQ125" s="20">
        <f t="shared" si="10"/>
        <v>1</v>
      </c>
      <c r="AR125" s="20">
        <f t="shared" si="11"/>
        <v>0</v>
      </c>
      <c r="AS125" s="86">
        <f t="shared" si="12"/>
        <v>0</v>
      </c>
      <c r="AT125" s="87">
        <f t="shared" si="13"/>
        <v>0</v>
      </c>
      <c r="AU125" s="88">
        <f t="shared" si="14"/>
        <v>0</v>
      </c>
      <c r="AV125" s="89" t="str">
        <f t="shared" si="15"/>
        <v>#VALUE!</v>
      </c>
      <c r="AW125" s="90">
        <f t="shared" si="16"/>
        <v>0</v>
      </c>
      <c r="AY125" s="85">
        <f t="shared" si="17"/>
        <v>1</v>
      </c>
      <c r="AZ125" s="20">
        <f t="shared" si="18"/>
        <v>1</v>
      </c>
      <c r="BA125" s="20">
        <f t="shared" si="19"/>
        <v>1</v>
      </c>
      <c r="BB125" s="91">
        <f t="shared" si="20"/>
        <v>4477.65</v>
      </c>
      <c r="BC125" s="87">
        <f t="shared" si="21"/>
        <v>27270.51</v>
      </c>
      <c r="BD125" s="92">
        <f t="shared" si="22"/>
        <v>2.966666667</v>
      </c>
      <c r="BE125" s="89" t="str">
        <f t="shared" si="23"/>
        <v>#VALUE!</v>
      </c>
      <c r="BF125" s="90" t="str">
        <f t="shared" si="24"/>
        <v>#VALUE!</v>
      </c>
      <c r="BH125" s="93">
        <f t="shared" si="25"/>
        <v>27270.51</v>
      </c>
      <c r="BI125" s="94">
        <f t="shared" si="26"/>
        <v>1</v>
      </c>
      <c r="BJ125" s="95" t="str">
        <f t="shared" si="27"/>
        <v>#VALUE!</v>
      </c>
      <c r="BK125" s="96" t="str">
        <f t="shared" si="28"/>
        <v>#VALUE!</v>
      </c>
      <c r="BM125" s="97">
        <f t="shared" si="29"/>
        <v>1</v>
      </c>
    </row>
    <row r="126" ht="12.75" customHeight="1">
      <c r="A126" s="65"/>
      <c r="B126" s="66" t="s">
        <v>279</v>
      </c>
      <c r="C126" s="67">
        <v>15532.5</v>
      </c>
      <c r="D126" s="68">
        <v>13.0</v>
      </c>
      <c r="E126" s="67">
        <v>13583.2</v>
      </c>
      <c r="F126" s="68" t="s">
        <v>56</v>
      </c>
      <c r="G126" s="69">
        <v>41135.0</v>
      </c>
      <c r="H126" s="71" t="s">
        <v>57</v>
      </c>
      <c r="I126" s="69">
        <v>41193.0</v>
      </c>
      <c r="J126" s="71">
        <f t="shared" si="1"/>
        <v>1.933333333</v>
      </c>
      <c r="K126" s="72" t="s">
        <v>280</v>
      </c>
      <c r="L126" s="72">
        <v>33500.0</v>
      </c>
      <c r="M126" s="73">
        <v>691.98</v>
      </c>
      <c r="N126" s="73">
        <v>5557.73</v>
      </c>
      <c r="O126" s="73">
        <v>6317.78</v>
      </c>
      <c r="P126" s="73">
        <f t="shared" si="37"/>
        <v>0</v>
      </c>
      <c r="Q126" s="73">
        <f t="shared" si="35"/>
        <v>0</v>
      </c>
      <c r="R126" s="74">
        <f t="shared" si="4"/>
        <v>0</v>
      </c>
      <c r="S126" s="74">
        <f t="shared" si="5"/>
        <v>1</v>
      </c>
      <c r="T126" s="75"/>
      <c r="V126" s="76"/>
      <c r="W126" s="77"/>
      <c r="X126" s="77"/>
      <c r="Y126" s="77"/>
      <c r="Z126" s="77"/>
      <c r="AA126" s="77"/>
      <c r="AB126" s="78">
        <f t="shared" si="6"/>
        <v>0</v>
      </c>
      <c r="AC126" s="77"/>
      <c r="AD126" s="79"/>
      <c r="AE126" s="80"/>
      <c r="AF126" s="81"/>
      <c r="AG126" s="79"/>
      <c r="AH126" s="80"/>
      <c r="AI126" s="82"/>
      <c r="AJ126" s="82">
        <f t="shared" si="7"/>
        <v>0</v>
      </c>
      <c r="AK126" s="83"/>
      <c r="AL126" s="84">
        <f t="shared" si="8"/>
        <v>0</v>
      </c>
      <c r="AP126" s="85">
        <f t="shared" si="9"/>
        <v>1</v>
      </c>
      <c r="AQ126" s="20">
        <f t="shared" si="10"/>
        <v>1</v>
      </c>
      <c r="AR126" s="20">
        <f t="shared" si="11"/>
        <v>1</v>
      </c>
      <c r="AS126" s="86">
        <f t="shared" si="12"/>
        <v>11875.51</v>
      </c>
      <c r="AT126" s="87">
        <f t="shared" si="13"/>
        <v>13583.2</v>
      </c>
      <c r="AU126" s="88">
        <f t="shared" si="14"/>
        <v>1.933333333</v>
      </c>
      <c r="AV126" s="89" t="str">
        <f t="shared" si="15"/>
        <v>#VALUE!</v>
      </c>
      <c r="AW126" s="90" t="str">
        <f t="shared" si="16"/>
        <v>#VALUE!</v>
      </c>
      <c r="AY126" s="85">
        <f t="shared" si="17"/>
        <v>0</v>
      </c>
      <c r="AZ126" s="20">
        <f t="shared" si="18"/>
        <v>1</v>
      </c>
      <c r="BA126" s="20">
        <f t="shared" si="19"/>
        <v>0</v>
      </c>
      <c r="BB126" s="91">
        <f t="shared" si="20"/>
        <v>0</v>
      </c>
      <c r="BC126" s="87">
        <f t="shared" si="21"/>
        <v>0</v>
      </c>
      <c r="BD126" s="92">
        <f t="shared" si="22"/>
        <v>0</v>
      </c>
      <c r="BE126" s="89" t="str">
        <f t="shared" si="23"/>
        <v>#VALUE!</v>
      </c>
      <c r="BF126" s="90">
        <f t="shared" si="24"/>
        <v>0</v>
      </c>
      <c r="BH126" s="93">
        <f t="shared" si="25"/>
        <v>13583.2</v>
      </c>
      <c r="BI126" s="94">
        <f t="shared" si="26"/>
        <v>1</v>
      </c>
      <c r="BJ126" s="95" t="str">
        <f t="shared" si="27"/>
        <v>#VALUE!</v>
      </c>
      <c r="BK126" s="96" t="str">
        <f t="shared" si="28"/>
        <v>#VALUE!</v>
      </c>
      <c r="BM126" s="97">
        <f t="shared" si="29"/>
        <v>1</v>
      </c>
    </row>
    <row r="127" ht="12.75" customHeight="1">
      <c r="A127" s="65"/>
      <c r="B127" s="66" t="s">
        <v>281</v>
      </c>
      <c r="C127" s="67">
        <v>41752.5</v>
      </c>
      <c r="D127" s="68">
        <v>13.0</v>
      </c>
      <c r="E127" s="67">
        <v>37155.94</v>
      </c>
      <c r="F127" s="68" t="s">
        <v>56</v>
      </c>
      <c r="G127" s="69">
        <v>41151.0</v>
      </c>
      <c r="H127" s="71" t="s">
        <v>57</v>
      </c>
      <c r="I127" s="69">
        <v>41254.0</v>
      </c>
      <c r="J127" s="71">
        <f t="shared" si="1"/>
        <v>3.433333333</v>
      </c>
      <c r="K127" s="72" t="s">
        <v>282</v>
      </c>
      <c r="L127" s="72">
        <v>60000.0</v>
      </c>
      <c r="M127" s="73">
        <v>2322.6</v>
      </c>
      <c r="N127" s="73">
        <v>25444.9</v>
      </c>
      <c r="O127" s="73">
        <v>0.0</v>
      </c>
      <c r="P127" s="73">
        <f t="shared" si="37"/>
        <v>0</v>
      </c>
      <c r="Q127" s="73">
        <f t="shared" si="35"/>
        <v>4923.44</v>
      </c>
      <c r="R127" s="74">
        <f t="shared" si="4"/>
        <v>0.1325074806</v>
      </c>
      <c r="S127" s="74">
        <f t="shared" si="5"/>
        <v>0.8674925194</v>
      </c>
      <c r="T127" s="75"/>
      <c r="V127" s="76"/>
      <c r="W127" s="77"/>
      <c r="X127" s="77"/>
      <c r="Y127" s="77"/>
      <c r="Z127" s="77"/>
      <c r="AA127" s="77"/>
      <c r="AB127" s="78">
        <f t="shared" si="6"/>
        <v>0</v>
      </c>
      <c r="AC127" s="77"/>
      <c r="AD127" s="79"/>
      <c r="AE127" s="80"/>
      <c r="AF127" s="81"/>
      <c r="AG127" s="79"/>
      <c r="AH127" s="80"/>
      <c r="AI127" s="82"/>
      <c r="AJ127" s="82">
        <f t="shared" si="7"/>
        <v>0</v>
      </c>
      <c r="AK127" s="83"/>
      <c r="AL127" s="84">
        <f t="shared" si="8"/>
        <v>0</v>
      </c>
      <c r="AP127" s="85">
        <f t="shared" si="9"/>
        <v>1</v>
      </c>
      <c r="AQ127" s="20">
        <f t="shared" si="10"/>
        <v>1</v>
      </c>
      <c r="AR127" s="20">
        <f t="shared" si="11"/>
        <v>1</v>
      </c>
      <c r="AS127" s="86">
        <f t="shared" si="12"/>
        <v>25444.9</v>
      </c>
      <c r="AT127" s="87">
        <f t="shared" si="13"/>
        <v>37155.94</v>
      </c>
      <c r="AU127" s="88">
        <f t="shared" si="14"/>
        <v>3.433333333</v>
      </c>
      <c r="AV127" s="89" t="str">
        <f t="shared" si="15"/>
        <v>#VALUE!</v>
      </c>
      <c r="AW127" s="90" t="str">
        <f t="shared" si="16"/>
        <v>#VALUE!</v>
      </c>
      <c r="AY127" s="85">
        <f t="shared" si="17"/>
        <v>0</v>
      </c>
      <c r="AZ127" s="20">
        <f t="shared" si="18"/>
        <v>1</v>
      </c>
      <c r="BA127" s="20">
        <f t="shared" si="19"/>
        <v>0</v>
      </c>
      <c r="BB127" s="91">
        <f t="shared" si="20"/>
        <v>0</v>
      </c>
      <c r="BC127" s="87">
        <f t="shared" si="21"/>
        <v>0</v>
      </c>
      <c r="BD127" s="92">
        <f t="shared" si="22"/>
        <v>0</v>
      </c>
      <c r="BE127" s="89" t="str">
        <f t="shared" si="23"/>
        <v>#VALUE!</v>
      </c>
      <c r="BF127" s="90">
        <f t="shared" si="24"/>
        <v>0</v>
      </c>
      <c r="BH127" s="93">
        <f t="shared" si="25"/>
        <v>37155.94</v>
      </c>
      <c r="BI127" s="94">
        <f t="shared" si="26"/>
        <v>1</v>
      </c>
      <c r="BJ127" s="95" t="str">
        <f t="shared" si="27"/>
        <v>#VALUE!</v>
      </c>
      <c r="BK127" s="96" t="str">
        <f t="shared" si="28"/>
        <v>#VALUE!</v>
      </c>
      <c r="BM127" s="97">
        <f t="shared" si="29"/>
        <v>1</v>
      </c>
    </row>
    <row r="128" ht="12.75" customHeight="1">
      <c r="A128" s="65"/>
      <c r="B128" s="66" t="s">
        <v>283</v>
      </c>
      <c r="C128" s="67">
        <v>46060.3</v>
      </c>
      <c r="D128" s="68">
        <v>13.0</v>
      </c>
      <c r="E128" s="67">
        <f>38725.03+4349.66</f>
        <v>43074.69</v>
      </c>
      <c r="F128" s="68" t="s">
        <v>64</v>
      </c>
      <c r="G128" s="69">
        <v>41152.0</v>
      </c>
      <c r="H128" s="71" t="s">
        <v>57</v>
      </c>
      <c r="I128" s="69">
        <v>41152.0</v>
      </c>
      <c r="J128" s="71">
        <f t="shared" si="1"/>
        <v>0</v>
      </c>
      <c r="K128" s="72" t="s">
        <v>284</v>
      </c>
      <c r="L128" s="72">
        <v>60000.0</v>
      </c>
      <c r="M128" s="73">
        <v>1898.49</v>
      </c>
      <c r="N128" s="73">
        <v>250.0</v>
      </c>
      <c r="O128" s="73">
        <v>0.0</v>
      </c>
      <c r="P128" s="73">
        <f t="shared" si="37"/>
        <v>0</v>
      </c>
      <c r="Q128" s="73">
        <f t="shared" si="35"/>
        <v>0</v>
      </c>
      <c r="R128" s="74">
        <f t="shared" si="4"/>
        <v>0</v>
      </c>
      <c r="S128" s="74">
        <f t="shared" si="5"/>
        <v>1</v>
      </c>
      <c r="T128" s="75"/>
      <c r="V128" s="76"/>
      <c r="W128" s="77"/>
      <c r="X128" s="77"/>
      <c r="Y128" s="77"/>
      <c r="Z128" s="77"/>
      <c r="AA128" s="77"/>
      <c r="AB128" s="78">
        <f t="shared" si="6"/>
        <v>0</v>
      </c>
      <c r="AC128" s="77"/>
      <c r="AD128" s="79"/>
      <c r="AE128" s="80"/>
      <c r="AF128" s="81"/>
      <c r="AG128" s="79"/>
      <c r="AH128" s="80"/>
      <c r="AI128" s="82"/>
      <c r="AJ128" s="82">
        <f t="shared" si="7"/>
        <v>0</v>
      </c>
      <c r="AK128" s="83"/>
      <c r="AL128" s="84">
        <f t="shared" si="8"/>
        <v>0</v>
      </c>
      <c r="AP128" s="85">
        <f t="shared" si="9"/>
        <v>0</v>
      </c>
      <c r="AQ128" s="20">
        <f t="shared" si="10"/>
        <v>1</v>
      </c>
      <c r="AR128" s="20">
        <f t="shared" si="11"/>
        <v>0</v>
      </c>
      <c r="AS128" s="86">
        <f t="shared" si="12"/>
        <v>0</v>
      </c>
      <c r="AT128" s="87">
        <f t="shared" si="13"/>
        <v>0</v>
      </c>
      <c r="AU128" s="88">
        <f t="shared" si="14"/>
        <v>0</v>
      </c>
      <c r="AV128" s="89" t="str">
        <f t="shared" si="15"/>
        <v>#VALUE!</v>
      </c>
      <c r="AW128" s="90">
        <f t="shared" si="16"/>
        <v>0</v>
      </c>
      <c r="AY128" s="85">
        <f t="shared" si="17"/>
        <v>1</v>
      </c>
      <c r="AZ128" s="20">
        <f t="shared" si="18"/>
        <v>1</v>
      </c>
      <c r="BA128" s="20">
        <f t="shared" si="19"/>
        <v>1</v>
      </c>
      <c r="BB128" s="91">
        <f t="shared" si="20"/>
        <v>250</v>
      </c>
      <c r="BC128" s="87">
        <f t="shared" si="21"/>
        <v>43074.69</v>
      </c>
      <c r="BD128" s="92">
        <f t="shared" si="22"/>
        <v>0</v>
      </c>
      <c r="BE128" s="89" t="str">
        <f t="shared" si="23"/>
        <v>#VALUE!</v>
      </c>
      <c r="BF128" s="90" t="str">
        <f t="shared" si="24"/>
        <v>#VALUE!</v>
      </c>
      <c r="BH128" s="93">
        <f t="shared" si="25"/>
        <v>43074.69</v>
      </c>
      <c r="BI128" s="94">
        <f t="shared" si="26"/>
        <v>1</v>
      </c>
      <c r="BJ128" s="95" t="str">
        <f t="shared" si="27"/>
        <v>#VALUE!</v>
      </c>
      <c r="BK128" s="96" t="str">
        <f t="shared" si="28"/>
        <v>#VALUE!</v>
      </c>
      <c r="BM128" s="97">
        <f t="shared" si="29"/>
        <v>1</v>
      </c>
    </row>
    <row r="129" ht="12.75" customHeight="1">
      <c r="A129" s="65"/>
      <c r="B129" s="66" t="s">
        <v>285</v>
      </c>
      <c r="C129" s="67">
        <v>20492.0</v>
      </c>
      <c r="D129" s="68">
        <v>13.0</v>
      </c>
      <c r="E129" s="67">
        <v>17484.69</v>
      </c>
      <c r="F129" s="68" t="s">
        <v>56</v>
      </c>
      <c r="G129" s="69">
        <v>41152.0</v>
      </c>
      <c r="H129" s="71" t="s">
        <v>57</v>
      </c>
      <c r="I129" s="69">
        <v>41224.0</v>
      </c>
      <c r="J129" s="71">
        <f t="shared" si="1"/>
        <v>2.4</v>
      </c>
      <c r="K129" s="72" t="s">
        <v>286</v>
      </c>
      <c r="L129" s="72">
        <v>32000.0</v>
      </c>
      <c r="M129" s="73">
        <v>275.86</v>
      </c>
      <c r="N129" s="73"/>
      <c r="O129" s="73">
        <v>3468.77</v>
      </c>
      <c r="P129" s="73">
        <f t="shared" si="37"/>
        <v>0</v>
      </c>
      <c r="Q129" s="73">
        <f t="shared" si="35"/>
        <v>0</v>
      </c>
      <c r="R129" s="74">
        <f t="shared" si="4"/>
        <v>0</v>
      </c>
      <c r="S129" s="74">
        <f t="shared" si="5"/>
        <v>1</v>
      </c>
      <c r="T129" s="75"/>
      <c r="V129" s="76"/>
      <c r="W129" s="77"/>
      <c r="X129" s="77"/>
      <c r="Y129" s="77"/>
      <c r="Z129" s="77"/>
      <c r="AA129" s="77"/>
      <c r="AB129" s="78">
        <f t="shared" si="6"/>
        <v>0</v>
      </c>
      <c r="AC129" s="77"/>
      <c r="AD129" s="79"/>
      <c r="AE129" s="80"/>
      <c r="AF129" s="81"/>
      <c r="AG129" s="79"/>
      <c r="AH129" s="80"/>
      <c r="AI129" s="82"/>
      <c r="AJ129" s="82">
        <f t="shared" si="7"/>
        <v>0</v>
      </c>
      <c r="AK129" s="83"/>
      <c r="AL129" s="84">
        <f t="shared" si="8"/>
        <v>0</v>
      </c>
      <c r="AP129" s="85">
        <f t="shared" si="9"/>
        <v>1</v>
      </c>
      <c r="AQ129" s="20">
        <f t="shared" si="10"/>
        <v>1</v>
      </c>
      <c r="AR129" s="20">
        <f t="shared" si="11"/>
        <v>1</v>
      </c>
      <c r="AS129" s="86">
        <f t="shared" si="12"/>
        <v>3468.77</v>
      </c>
      <c r="AT129" s="87">
        <f t="shared" si="13"/>
        <v>17484.69</v>
      </c>
      <c r="AU129" s="88">
        <f t="shared" si="14"/>
        <v>2.4</v>
      </c>
      <c r="AV129" s="89" t="str">
        <f t="shared" si="15"/>
        <v>#VALUE!</v>
      </c>
      <c r="AW129" s="90" t="str">
        <f t="shared" si="16"/>
        <v>#VALUE!</v>
      </c>
      <c r="AY129" s="85">
        <f t="shared" si="17"/>
        <v>0</v>
      </c>
      <c r="AZ129" s="20">
        <f t="shared" si="18"/>
        <v>1</v>
      </c>
      <c r="BA129" s="20">
        <f t="shared" si="19"/>
        <v>0</v>
      </c>
      <c r="BB129" s="91">
        <f t="shared" si="20"/>
        <v>0</v>
      </c>
      <c r="BC129" s="87">
        <f t="shared" si="21"/>
        <v>0</v>
      </c>
      <c r="BD129" s="92">
        <f t="shared" si="22"/>
        <v>0</v>
      </c>
      <c r="BE129" s="89" t="str">
        <f t="shared" si="23"/>
        <v>#VALUE!</v>
      </c>
      <c r="BF129" s="90">
        <f t="shared" si="24"/>
        <v>0</v>
      </c>
      <c r="BH129" s="93">
        <f t="shared" si="25"/>
        <v>17484.69</v>
      </c>
      <c r="BI129" s="94">
        <f t="shared" si="26"/>
        <v>1</v>
      </c>
      <c r="BJ129" s="95" t="str">
        <f t="shared" si="27"/>
        <v>#VALUE!</v>
      </c>
      <c r="BK129" s="96" t="str">
        <f t="shared" si="28"/>
        <v>#VALUE!</v>
      </c>
      <c r="BM129" s="97">
        <f t="shared" si="29"/>
        <v>1</v>
      </c>
    </row>
    <row r="130" ht="12.75" customHeight="1">
      <c r="A130" s="65"/>
      <c r="B130" s="66" t="s">
        <v>287</v>
      </c>
      <c r="C130" s="67">
        <v>20700.0</v>
      </c>
      <c r="D130" s="68">
        <v>13.0</v>
      </c>
      <c r="E130" s="67">
        <v>18636.0</v>
      </c>
      <c r="F130" s="68" t="s">
        <v>56</v>
      </c>
      <c r="G130" s="69">
        <v>41181.0</v>
      </c>
      <c r="H130" s="71" t="s">
        <v>57</v>
      </c>
      <c r="I130" s="69">
        <v>41181.0</v>
      </c>
      <c r="J130" s="71">
        <f t="shared" si="1"/>
        <v>0</v>
      </c>
      <c r="K130" s="72" t="s">
        <v>288</v>
      </c>
      <c r="L130" s="72">
        <v>28000.0</v>
      </c>
      <c r="M130" s="73">
        <v>504.17</v>
      </c>
      <c r="N130" s="73">
        <v>0.0</v>
      </c>
      <c r="O130" s="73">
        <v>5527.45</v>
      </c>
      <c r="P130" s="73">
        <f t="shared" si="37"/>
        <v>0</v>
      </c>
      <c r="Q130" s="73">
        <f t="shared" si="35"/>
        <v>0</v>
      </c>
      <c r="R130" s="74">
        <f t="shared" si="4"/>
        <v>0</v>
      </c>
      <c r="S130" s="74">
        <f t="shared" si="5"/>
        <v>1</v>
      </c>
      <c r="T130" s="75"/>
      <c r="V130" s="76"/>
      <c r="W130" s="77"/>
      <c r="X130" s="77"/>
      <c r="Y130" s="77"/>
      <c r="Z130" s="77"/>
      <c r="AA130" s="77"/>
      <c r="AB130" s="78">
        <f t="shared" si="6"/>
        <v>0</v>
      </c>
      <c r="AC130" s="77"/>
      <c r="AD130" s="79"/>
      <c r="AE130" s="80"/>
      <c r="AF130" s="81"/>
      <c r="AG130" s="79"/>
      <c r="AH130" s="80"/>
      <c r="AI130" s="82"/>
      <c r="AJ130" s="82">
        <f t="shared" si="7"/>
        <v>0</v>
      </c>
      <c r="AK130" s="83"/>
      <c r="AL130" s="84">
        <f t="shared" si="8"/>
        <v>0</v>
      </c>
      <c r="AP130" s="85">
        <f t="shared" si="9"/>
        <v>1</v>
      </c>
      <c r="AQ130" s="20">
        <f t="shared" si="10"/>
        <v>1</v>
      </c>
      <c r="AR130" s="20">
        <f t="shared" si="11"/>
        <v>1</v>
      </c>
      <c r="AS130" s="86">
        <f t="shared" si="12"/>
        <v>5527.45</v>
      </c>
      <c r="AT130" s="87">
        <f t="shared" si="13"/>
        <v>18636</v>
      </c>
      <c r="AU130" s="88">
        <f t="shared" si="14"/>
        <v>0</v>
      </c>
      <c r="AV130" s="89" t="str">
        <f t="shared" si="15"/>
        <v>#VALUE!</v>
      </c>
      <c r="AW130" s="90" t="str">
        <f t="shared" si="16"/>
        <v>#VALUE!</v>
      </c>
      <c r="AY130" s="85">
        <f t="shared" si="17"/>
        <v>0</v>
      </c>
      <c r="AZ130" s="20">
        <f t="shared" si="18"/>
        <v>1</v>
      </c>
      <c r="BA130" s="20">
        <f t="shared" si="19"/>
        <v>0</v>
      </c>
      <c r="BB130" s="91">
        <f t="shared" si="20"/>
        <v>0</v>
      </c>
      <c r="BC130" s="87">
        <f t="shared" si="21"/>
        <v>0</v>
      </c>
      <c r="BD130" s="92">
        <f t="shared" si="22"/>
        <v>0</v>
      </c>
      <c r="BE130" s="89" t="str">
        <f t="shared" si="23"/>
        <v>#VALUE!</v>
      </c>
      <c r="BF130" s="90">
        <f t="shared" si="24"/>
        <v>0</v>
      </c>
      <c r="BH130" s="93">
        <f t="shared" si="25"/>
        <v>18636</v>
      </c>
      <c r="BI130" s="94">
        <f t="shared" si="26"/>
        <v>1</v>
      </c>
      <c r="BJ130" s="95" t="str">
        <f t="shared" si="27"/>
        <v>#VALUE!</v>
      </c>
      <c r="BK130" s="96" t="str">
        <f t="shared" si="28"/>
        <v>#VALUE!</v>
      </c>
      <c r="BM130" s="97">
        <f t="shared" si="29"/>
        <v>1</v>
      </c>
    </row>
    <row r="131" ht="12.75" customHeight="1">
      <c r="A131" s="65"/>
      <c r="B131" s="66" t="s">
        <v>289</v>
      </c>
      <c r="C131" s="67">
        <v>25300.0</v>
      </c>
      <c r="D131" s="68">
        <v>10.0</v>
      </c>
      <c r="E131" s="67">
        <v>25127.25</v>
      </c>
      <c r="F131" s="68" t="s">
        <v>56</v>
      </c>
      <c r="G131" s="69">
        <v>41181.0</v>
      </c>
      <c r="H131" s="71" t="s">
        <v>57</v>
      </c>
      <c r="I131" s="69">
        <v>41181.0</v>
      </c>
      <c r="J131" s="71">
        <f t="shared" si="1"/>
        <v>0</v>
      </c>
      <c r="K131" s="72" t="s">
        <v>290</v>
      </c>
      <c r="L131" s="72">
        <v>30000.0</v>
      </c>
      <c r="M131" s="73">
        <v>194.5</v>
      </c>
      <c r="N131" s="73"/>
      <c r="O131" s="73">
        <v>3392.53</v>
      </c>
      <c r="P131" s="73">
        <f t="shared" si="37"/>
        <v>0</v>
      </c>
      <c r="Q131" s="73">
        <f t="shared" si="35"/>
        <v>0</v>
      </c>
      <c r="R131" s="74">
        <f t="shared" si="4"/>
        <v>0</v>
      </c>
      <c r="S131" s="74">
        <f t="shared" si="5"/>
        <v>1</v>
      </c>
      <c r="T131" s="75"/>
      <c r="V131" s="76"/>
      <c r="W131" s="77"/>
      <c r="X131" s="77"/>
      <c r="Y131" s="77"/>
      <c r="Z131" s="77"/>
      <c r="AA131" s="77"/>
      <c r="AB131" s="78">
        <f t="shared" si="6"/>
        <v>0</v>
      </c>
      <c r="AC131" s="77"/>
      <c r="AD131" s="79"/>
      <c r="AE131" s="80"/>
      <c r="AF131" s="81"/>
      <c r="AG131" s="79"/>
      <c r="AH131" s="80"/>
      <c r="AI131" s="82"/>
      <c r="AJ131" s="82">
        <f t="shared" si="7"/>
        <v>0</v>
      </c>
      <c r="AK131" s="83"/>
      <c r="AL131" s="84">
        <f t="shared" si="8"/>
        <v>0</v>
      </c>
      <c r="AP131" s="85">
        <f t="shared" si="9"/>
        <v>1</v>
      </c>
      <c r="AQ131" s="20">
        <f t="shared" si="10"/>
        <v>1</v>
      </c>
      <c r="AR131" s="20">
        <f t="shared" si="11"/>
        <v>1</v>
      </c>
      <c r="AS131" s="86">
        <f t="shared" si="12"/>
        <v>3392.53</v>
      </c>
      <c r="AT131" s="87">
        <f t="shared" si="13"/>
        <v>25127.25</v>
      </c>
      <c r="AU131" s="88">
        <f t="shared" si="14"/>
        <v>0</v>
      </c>
      <c r="AV131" s="89" t="str">
        <f t="shared" si="15"/>
        <v>#VALUE!</v>
      </c>
      <c r="AW131" s="90" t="str">
        <f t="shared" si="16"/>
        <v>#VALUE!</v>
      </c>
      <c r="AY131" s="85">
        <f t="shared" si="17"/>
        <v>0</v>
      </c>
      <c r="AZ131" s="20">
        <f t="shared" si="18"/>
        <v>1</v>
      </c>
      <c r="BA131" s="20">
        <f t="shared" si="19"/>
        <v>0</v>
      </c>
      <c r="BB131" s="91">
        <f t="shared" si="20"/>
        <v>0</v>
      </c>
      <c r="BC131" s="87">
        <f t="shared" si="21"/>
        <v>0</v>
      </c>
      <c r="BD131" s="92">
        <f t="shared" si="22"/>
        <v>0</v>
      </c>
      <c r="BE131" s="89" t="str">
        <f t="shared" si="23"/>
        <v>#VALUE!</v>
      </c>
      <c r="BF131" s="90">
        <f t="shared" si="24"/>
        <v>0</v>
      </c>
      <c r="BH131" s="93">
        <f t="shared" si="25"/>
        <v>25127.25</v>
      </c>
      <c r="BI131" s="94">
        <f t="shared" si="26"/>
        <v>1</v>
      </c>
      <c r="BJ131" s="95" t="str">
        <f t="shared" si="27"/>
        <v>#VALUE!</v>
      </c>
      <c r="BK131" s="96" t="str">
        <f t="shared" si="28"/>
        <v>#VALUE!</v>
      </c>
      <c r="BM131" s="97">
        <f t="shared" si="29"/>
        <v>1</v>
      </c>
    </row>
    <row r="132" ht="12.75" customHeight="1">
      <c r="A132" s="65"/>
      <c r="B132" s="66" t="s">
        <v>291</v>
      </c>
      <c r="C132" s="67">
        <v>26100.0</v>
      </c>
      <c r="D132" s="68">
        <v>13.0</v>
      </c>
      <c r="E132" s="67">
        <v>23263.24</v>
      </c>
      <c r="F132" s="68" t="s">
        <v>56</v>
      </c>
      <c r="G132" s="69">
        <v>41182.0</v>
      </c>
      <c r="H132" s="71" t="s">
        <v>57</v>
      </c>
      <c r="I132" s="69">
        <v>41181.0</v>
      </c>
      <c r="J132" s="71">
        <f t="shared" si="1"/>
        <v>-0.03333333333</v>
      </c>
      <c r="K132" s="72" t="s">
        <v>292</v>
      </c>
      <c r="L132" s="72">
        <v>36800.0</v>
      </c>
      <c r="M132" s="73">
        <v>891.96</v>
      </c>
      <c r="N132" s="73">
        <v>0.0</v>
      </c>
      <c r="O132" s="73">
        <v>5568.53</v>
      </c>
      <c r="P132" s="73">
        <f t="shared" si="37"/>
        <v>0</v>
      </c>
      <c r="Q132" s="73">
        <f t="shared" si="35"/>
        <v>0</v>
      </c>
      <c r="R132" s="74">
        <f t="shared" si="4"/>
        <v>0</v>
      </c>
      <c r="S132" s="74">
        <f t="shared" si="5"/>
        <v>1</v>
      </c>
      <c r="T132" s="75"/>
      <c r="V132" s="76"/>
      <c r="W132" s="77"/>
      <c r="X132" s="77"/>
      <c r="Y132" s="77"/>
      <c r="Z132" s="77"/>
      <c r="AA132" s="77"/>
      <c r="AB132" s="78">
        <f t="shared" si="6"/>
        <v>0</v>
      </c>
      <c r="AC132" s="77"/>
      <c r="AD132" s="79"/>
      <c r="AE132" s="80"/>
      <c r="AF132" s="81"/>
      <c r="AG132" s="79"/>
      <c r="AH132" s="80"/>
      <c r="AI132" s="82"/>
      <c r="AJ132" s="82">
        <f t="shared" si="7"/>
        <v>0</v>
      </c>
      <c r="AK132" s="83"/>
      <c r="AL132" s="84">
        <f t="shared" si="8"/>
        <v>0</v>
      </c>
      <c r="AP132" s="85">
        <f t="shared" si="9"/>
        <v>1</v>
      </c>
      <c r="AQ132" s="20">
        <f t="shared" si="10"/>
        <v>1</v>
      </c>
      <c r="AR132" s="20">
        <f t="shared" si="11"/>
        <v>1</v>
      </c>
      <c r="AS132" s="86">
        <f t="shared" si="12"/>
        <v>5568.53</v>
      </c>
      <c r="AT132" s="87">
        <f t="shared" si="13"/>
        <v>23263.24</v>
      </c>
      <c r="AU132" s="88">
        <f t="shared" si="14"/>
        <v>-0.03333333333</v>
      </c>
      <c r="AV132" s="89" t="str">
        <f t="shared" si="15"/>
        <v>#VALUE!</v>
      </c>
      <c r="AW132" s="90" t="str">
        <f t="shared" si="16"/>
        <v>#VALUE!</v>
      </c>
      <c r="AY132" s="85">
        <f t="shared" si="17"/>
        <v>0</v>
      </c>
      <c r="AZ132" s="20">
        <f t="shared" si="18"/>
        <v>1</v>
      </c>
      <c r="BA132" s="20">
        <f t="shared" si="19"/>
        <v>0</v>
      </c>
      <c r="BB132" s="91">
        <f t="shared" si="20"/>
        <v>0</v>
      </c>
      <c r="BC132" s="87">
        <f t="shared" si="21"/>
        <v>0</v>
      </c>
      <c r="BD132" s="92">
        <f t="shared" si="22"/>
        <v>0</v>
      </c>
      <c r="BE132" s="89" t="str">
        <f t="shared" si="23"/>
        <v>#VALUE!</v>
      </c>
      <c r="BF132" s="90">
        <f t="shared" si="24"/>
        <v>0</v>
      </c>
      <c r="BH132" s="93">
        <f t="shared" si="25"/>
        <v>23263.24</v>
      </c>
      <c r="BI132" s="94">
        <f t="shared" si="26"/>
        <v>1</v>
      </c>
      <c r="BJ132" s="95" t="str">
        <f t="shared" si="27"/>
        <v>#VALUE!</v>
      </c>
      <c r="BK132" s="96" t="str">
        <f t="shared" si="28"/>
        <v>#VALUE!</v>
      </c>
      <c r="BM132" s="97">
        <f t="shared" si="29"/>
        <v>1</v>
      </c>
    </row>
    <row r="133" ht="12.75" customHeight="1">
      <c r="A133" s="65"/>
      <c r="B133" s="66" t="s">
        <v>293</v>
      </c>
      <c r="C133" s="67">
        <v>24981.66</v>
      </c>
      <c r="D133" s="68">
        <v>13.0</v>
      </c>
      <c r="E133" s="67">
        <v>22947.88</v>
      </c>
      <c r="F133" s="68" t="s">
        <v>56</v>
      </c>
      <c r="G133" s="69">
        <v>41291.0</v>
      </c>
      <c r="H133" s="71" t="s">
        <v>57</v>
      </c>
      <c r="I133" s="69">
        <v>41455.0</v>
      </c>
      <c r="J133" s="71">
        <f t="shared" si="1"/>
        <v>5.466666667</v>
      </c>
      <c r="K133" s="72" t="s">
        <v>294</v>
      </c>
      <c r="L133" s="72">
        <v>36500.0</v>
      </c>
      <c r="M133" s="73">
        <v>745.76</v>
      </c>
      <c r="N133" s="73">
        <v>6800.27</v>
      </c>
      <c r="O133" s="73">
        <v>0.0</v>
      </c>
      <c r="P133" s="73">
        <f t="shared" si="37"/>
        <v>0</v>
      </c>
      <c r="Q133" s="73">
        <f t="shared" si="35"/>
        <v>0</v>
      </c>
      <c r="R133" s="74">
        <f t="shared" si="4"/>
        <v>0</v>
      </c>
      <c r="S133" s="74">
        <f t="shared" si="5"/>
        <v>1</v>
      </c>
      <c r="T133" s="75"/>
      <c r="V133" s="76">
        <v>123.9</v>
      </c>
      <c r="W133" s="77"/>
      <c r="X133" s="77">
        <v>8.67</v>
      </c>
      <c r="Y133" s="77"/>
      <c r="Z133" s="77">
        <f>73.5+296.1+56.28</f>
        <v>425.88</v>
      </c>
      <c r="AA133" s="77">
        <v>1081.68</v>
      </c>
      <c r="AB133" s="78">
        <f t="shared" ref="AB133:AB249" si="38">AA133+Z133+Y133+X133+V133+W133</f>
        <v>1640.13</v>
      </c>
      <c r="AC133" s="77"/>
      <c r="AD133" s="79">
        <v>0.0275</v>
      </c>
      <c r="AE133" s="80">
        <f t="shared" ref="AE133:AE139" si="39">((E133*AD133)/365)*180</f>
        <v>311.2109753</v>
      </c>
      <c r="AF133" s="81"/>
      <c r="AG133" s="79"/>
      <c r="AH133" s="80">
        <f t="shared" ref="AH133:AH139" si="40">((E133*AG133)/365)*180</f>
        <v>0</v>
      </c>
      <c r="AI133" s="82"/>
      <c r="AJ133" s="82">
        <f t="shared" si="7"/>
        <v>311.2109753</v>
      </c>
      <c r="AK133" s="83">
        <f t="shared" ref="AK133:AK249" si="41">IF(AJ133&lt;AA133,AJ133,AA133)</f>
        <v>311.2109753</v>
      </c>
      <c r="AL133" s="84">
        <f t="shared" ref="AL133:AL249" si="42">W133+X133+Y133+Z133+AK133</f>
        <v>745.7609753</v>
      </c>
      <c r="AP133" s="85">
        <f t="shared" si="9"/>
        <v>1</v>
      </c>
      <c r="AQ133" s="20">
        <f t="shared" si="10"/>
        <v>1</v>
      </c>
      <c r="AR133" s="20">
        <f t="shared" si="11"/>
        <v>1</v>
      </c>
      <c r="AS133" s="86">
        <f t="shared" si="12"/>
        <v>6800.27</v>
      </c>
      <c r="AT133" s="87">
        <f t="shared" si="13"/>
        <v>22947.88</v>
      </c>
      <c r="AU133" s="88">
        <f t="shared" si="14"/>
        <v>5.466666667</v>
      </c>
      <c r="AV133" s="89" t="str">
        <f t="shared" si="15"/>
        <v>#VALUE!</v>
      </c>
      <c r="AW133" s="90" t="str">
        <f t="shared" si="16"/>
        <v>#VALUE!</v>
      </c>
      <c r="AY133" s="85">
        <f t="shared" si="17"/>
        <v>0</v>
      </c>
      <c r="AZ133" s="20">
        <f t="shared" si="18"/>
        <v>1</v>
      </c>
      <c r="BA133" s="20">
        <f t="shared" si="19"/>
        <v>0</v>
      </c>
      <c r="BB133" s="91">
        <f t="shared" si="20"/>
        <v>0</v>
      </c>
      <c r="BC133" s="87">
        <f t="shared" si="21"/>
        <v>0</v>
      </c>
      <c r="BD133" s="92">
        <f t="shared" si="22"/>
        <v>0</v>
      </c>
      <c r="BE133" s="89" t="str">
        <f t="shared" si="23"/>
        <v>#VALUE!</v>
      </c>
      <c r="BF133" s="90">
        <f t="shared" si="24"/>
        <v>0</v>
      </c>
      <c r="BH133" s="93">
        <f t="shared" si="25"/>
        <v>22947.88</v>
      </c>
      <c r="BI133" s="94">
        <f t="shared" si="26"/>
        <v>1</v>
      </c>
      <c r="BJ133" s="95" t="str">
        <f t="shared" si="27"/>
        <v>#VALUE!</v>
      </c>
      <c r="BK133" s="96" t="str">
        <f t="shared" si="28"/>
        <v>#VALUE!</v>
      </c>
      <c r="BM133" s="97">
        <f t="shared" si="29"/>
        <v>1</v>
      </c>
    </row>
    <row r="134" ht="12.75" customHeight="1">
      <c r="A134" s="65"/>
      <c r="B134" s="66" t="s">
        <v>295</v>
      </c>
      <c r="C134" s="67">
        <v>20386.99</v>
      </c>
      <c r="D134" s="68">
        <v>13.0</v>
      </c>
      <c r="E134" s="67">
        <v>18098.12</v>
      </c>
      <c r="F134" s="68" t="s">
        <v>56</v>
      </c>
      <c r="G134" s="69">
        <v>41359.0</v>
      </c>
      <c r="H134" s="71" t="s">
        <v>57</v>
      </c>
      <c r="I134" s="69">
        <v>41454.0</v>
      </c>
      <c r="J134" s="71">
        <f t="shared" si="1"/>
        <v>3.166666667</v>
      </c>
      <c r="K134" s="72" t="s">
        <v>296</v>
      </c>
      <c r="L134" s="72">
        <v>28000.0</v>
      </c>
      <c r="M134" s="73">
        <v>981.11</v>
      </c>
      <c r="N134" s="73">
        <v>2565.69</v>
      </c>
      <c r="O134" s="73">
        <v>4489.95</v>
      </c>
      <c r="P134" s="73">
        <f t="shared" si="37"/>
        <v>0</v>
      </c>
      <c r="Q134" s="73">
        <f t="shared" si="35"/>
        <v>0</v>
      </c>
      <c r="R134" s="74">
        <f t="shared" si="4"/>
        <v>0</v>
      </c>
      <c r="S134" s="74">
        <f t="shared" si="5"/>
        <v>1</v>
      </c>
      <c r="T134" s="75"/>
      <c r="V134" s="76">
        <v>97.75</v>
      </c>
      <c r="W134" s="77">
        <v>173.47</v>
      </c>
      <c r="X134" s="77">
        <v>18.98</v>
      </c>
      <c r="Y134" s="77"/>
      <c r="Z134" s="77">
        <f>267+262.43+80.73</f>
        <v>610.16</v>
      </c>
      <c r="AA134" s="77">
        <v>711.03</v>
      </c>
      <c r="AB134" s="78">
        <f t="shared" si="38"/>
        <v>1611.39</v>
      </c>
      <c r="AC134" s="77"/>
      <c r="AD134" s="79">
        <v>0.02</v>
      </c>
      <c r="AE134" s="80">
        <f t="shared" si="39"/>
        <v>178.5020055</v>
      </c>
      <c r="AF134" s="81"/>
      <c r="AG134" s="79"/>
      <c r="AH134" s="80">
        <f t="shared" si="40"/>
        <v>0</v>
      </c>
      <c r="AI134" s="82"/>
      <c r="AJ134" s="82">
        <f t="shared" si="7"/>
        <v>178.5020055</v>
      </c>
      <c r="AK134" s="83">
        <f t="shared" si="41"/>
        <v>178.5020055</v>
      </c>
      <c r="AL134" s="84">
        <f t="shared" si="42"/>
        <v>981.1120055</v>
      </c>
      <c r="AP134" s="85">
        <f t="shared" si="9"/>
        <v>1</v>
      </c>
      <c r="AQ134" s="20">
        <f t="shared" si="10"/>
        <v>1</v>
      </c>
      <c r="AR134" s="20">
        <f t="shared" si="11"/>
        <v>1</v>
      </c>
      <c r="AS134" s="86">
        <f t="shared" si="12"/>
        <v>7055.64</v>
      </c>
      <c r="AT134" s="87">
        <f t="shared" si="13"/>
        <v>18098.12</v>
      </c>
      <c r="AU134" s="88">
        <f t="shared" si="14"/>
        <v>3.166666667</v>
      </c>
      <c r="AV134" s="89" t="str">
        <f t="shared" si="15"/>
        <v>#VALUE!</v>
      </c>
      <c r="AW134" s="90" t="str">
        <f t="shared" si="16"/>
        <v>#VALUE!</v>
      </c>
      <c r="AY134" s="85">
        <f t="shared" si="17"/>
        <v>0</v>
      </c>
      <c r="AZ134" s="20">
        <f t="shared" si="18"/>
        <v>1</v>
      </c>
      <c r="BA134" s="20">
        <f t="shared" si="19"/>
        <v>0</v>
      </c>
      <c r="BB134" s="91">
        <f t="shared" si="20"/>
        <v>0</v>
      </c>
      <c r="BC134" s="87">
        <f t="shared" si="21"/>
        <v>0</v>
      </c>
      <c r="BD134" s="92">
        <f t="shared" si="22"/>
        <v>0</v>
      </c>
      <c r="BE134" s="89" t="str">
        <f t="shared" si="23"/>
        <v>#VALUE!</v>
      </c>
      <c r="BF134" s="90">
        <f t="shared" si="24"/>
        <v>0</v>
      </c>
      <c r="BH134" s="93">
        <f t="shared" si="25"/>
        <v>18098.12</v>
      </c>
      <c r="BI134" s="94">
        <f t="shared" si="26"/>
        <v>1</v>
      </c>
      <c r="BJ134" s="95" t="str">
        <f t="shared" si="27"/>
        <v>#VALUE!</v>
      </c>
      <c r="BK134" s="96" t="str">
        <f t="shared" si="28"/>
        <v>#VALUE!</v>
      </c>
      <c r="BM134" s="97">
        <f t="shared" si="29"/>
        <v>1</v>
      </c>
    </row>
    <row r="135" ht="12.75" customHeight="1">
      <c r="A135" s="65"/>
      <c r="B135" s="66" t="s">
        <v>297</v>
      </c>
      <c r="C135" s="67">
        <v>27502.5</v>
      </c>
      <c r="D135" s="68">
        <v>13.0</v>
      </c>
      <c r="E135" s="67">
        <v>21150.85</v>
      </c>
      <c r="F135" s="68" t="s">
        <v>56</v>
      </c>
      <c r="G135" s="69">
        <v>41363.0</v>
      </c>
      <c r="H135" s="71" t="s">
        <v>57</v>
      </c>
      <c r="I135" s="69">
        <v>41577.0</v>
      </c>
      <c r="J135" s="71">
        <f t="shared" si="1"/>
        <v>7.133333333</v>
      </c>
      <c r="K135" s="72" t="s">
        <v>69</v>
      </c>
      <c r="L135" s="72">
        <v>31000.0</v>
      </c>
      <c r="M135" s="73">
        <v>985.34</v>
      </c>
      <c r="N135" s="73">
        <v>3301.81</v>
      </c>
      <c r="O135" s="73">
        <v>0.0</v>
      </c>
      <c r="P135" s="73">
        <f t="shared" si="37"/>
        <v>0</v>
      </c>
      <c r="Q135" s="73">
        <f t="shared" si="35"/>
        <v>0</v>
      </c>
      <c r="R135" s="74">
        <f t="shared" si="4"/>
        <v>0</v>
      </c>
      <c r="S135" s="74">
        <f t="shared" si="5"/>
        <v>1</v>
      </c>
      <c r="T135" s="75"/>
      <c r="V135" s="76">
        <v>70.8</v>
      </c>
      <c r="W135" s="77">
        <v>0.04</v>
      </c>
      <c r="X135" s="77">
        <v>4.96</v>
      </c>
      <c r="Y135" s="77"/>
      <c r="Z135" s="77">
        <f>53.52+90.84+73.68+32.16</f>
        <v>250.2</v>
      </c>
      <c r="AA135" s="77">
        <f>174+1707.74</f>
        <v>1881.74</v>
      </c>
      <c r="AB135" s="78">
        <f t="shared" si="38"/>
        <v>2207.74</v>
      </c>
      <c r="AC135" s="77"/>
      <c r="AD135" s="79">
        <v>0.07</v>
      </c>
      <c r="AE135" s="80">
        <f t="shared" si="39"/>
        <v>730.1389315</v>
      </c>
      <c r="AF135" s="81"/>
      <c r="AG135" s="79"/>
      <c r="AH135" s="80">
        <f t="shared" si="40"/>
        <v>0</v>
      </c>
      <c r="AI135" s="82"/>
      <c r="AJ135" s="82">
        <f t="shared" si="7"/>
        <v>730.1389315</v>
      </c>
      <c r="AK135" s="83">
        <f t="shared" si="41"/>
        <v>730.1389315</v>
      </c>
      <c r="AL135" s="84">
        <f t="shared" si="42"/>
        <v>985.3389315</v>
      </c>
      <c r="AP135" s="85">
        <f t="shared" si="9"/>
        <v>1</v>
      </c>
      <c r="AQ135" s="20">
        <f t="shared" si="10"/>
        <v>1</v>
      </c>
      <c r="AR135" s="20">
        <f t="shared" si="11"/>
        <v>1</v>
      </c>
      <c r="AS135" s="86">
        <f t="shared" si="12"/>
        <v>3301.81</v>
      </c>
      <c r="AT135" s="87">
        <f t="shared" si="13"/>
        <v>21150.85</v>
      </c>
      <c r="AU135" s="88">
        <f t="shared" si="14"/>
        <v>7.133333333</v>
      </c>
      <c r="AV135" s="89" t="str">
        <f t="shared" si="15"/>
        <v>#VALUE!</v>
      </c>
      <c r="AW135" s="90" t="str">
        <f t="shared" si="16"/>
        <v>#VALUE!</v>
      </c>
      <c r="AY135" s="85">
        <f t="shared" si="17"/>
        <v>0</v>
      </c>
      <c r="AZ135" s="20">
        <f t="shared" si="18"/>
        <v>1</v>
      </c>
      <c r="BA135" s="20">
        <f t="shared" si="19"/>
        <v>0</v>
      </c>
      <c r="BB135" s="91">
        <f t="shared" si="20"/>
        <v>0</v>
      </c>
      <c r="BC135" s="87">
        <f t="shared" si="21"/>
        <v>0</v>
      </c>
      <c r="BD135" s="92">
        <f t="shared" si="22"/>
        <v>0</v>
      </c>
      <c r="BE135" s="89" t="str">
        <f t="shared" si="23"/>
        <v>#VALUE!</v>
      </c>
      <c r="BF135" s="90">
        <f t="shared" si="24"/>
        <v>0</v>
      </c>
      <c r="BH135" s="93">
        <f t="shared" si="25"/>
        <v>21150.85</v>
      </c>
      <c r="BI135" s="94">
        <f t="shared" si="26"/>
        <v>1</v>
      </c>
      <c r="BJ135" s="95" t="str">
        <f t="shared" si="27"/>
        <v>#VALUE!</v>
      </c>
      <c r="BK135" s="96" t="str">
        <f t="shared" si="28"/>
        <v>#VALUE!</v>
      </c>
      <c r="BM135" s="97">
        <f t="shared" si="29"/>
        <v>1</v>
      </c>
    </row>
    <row r="136" ht="12.75" customHeight="1">
      <c r="A136" s="65"/>
      <c r="B136" s="66" t="s">
        <v>298</v>
      </c>
      <c r="C136" s="67">
        <v>29117.5</v>
      </c>
      <c r="D136" s="68">
        <v>10.0</v>
      </c>
      <c r="E136" s="67">
        <v>21341.62</v>
      </c>
      <c r="F136" s="68" t="s">
        <v>56</v>
      </c>
      <c r="G136" s="69">
        <v>41387.0</v>
      </c>
      <c r="H136" s="71" t="s">
        <v>57</v>
      </c>
      <c r="I136" s="69">
        <v>41424.0</v>
      </c>
      <c r="J136" s="71">
        <f t="shared" si="1"/>
        <v>1.233333333</v>
      </c>
      <c r="K136" s="72" t="s">
        <v>299</v>
      </c>
      <c r="L136" s="72">
        <v>40000.0</v>
      </c>
      <c r="M136" s="73">
        <v>560.61</v>
      </c>
      <c r="N136" s="73">
        <v>7701.62</v>
      </c>
      <c r="O136" s="73">
        <v>0.0</v>
      </c>
      <c r="P136" s="73">
        <f t="shared" si="37"/>
        <v>0</v>
      </c>
      <c r="Q136" s="73">
        <f t="shared" si="35"/>
        <v>0</v>
      </c>
      <c r="R136" s="74">
        <f t="shared" si="4"/>
        <v>0</v>
      </c>
      <c r="S136" s="74">
        <f t="shared" si="5"/>
        <v>1</v>
      </c>
      <c r="T136" s="75"/>
      <c r="V136" s="76">
        <v>41.3</v>
      </c>
      <c r="W136" s="77"/>
      <c r="X136" s="77">
        <v>2.89</v>
      </c>
      <c r="Y136" s="77"/>
      <c r="Z136" s="77">
        <f>28.56+129.01+39.34+18.76</f>
        <v>215.67</v>
      </c>
      <c r="AA136" s="77">
        <v>683.89</v>
      </c>
      <c r="AB136" s="78">
        <f t="shared" si="38"/>
        <v>943.75</v>
      </c>
      <c r="AC136" s="77"/>
      <c r="AD136" s="79">
        <v>0.0325</v>
      </c>
      <c r="AE136" s="80">
        <f t="shared" si="39"/>
        <v>342.0506219</v>
      </c>
      <c r="AF136" s="81"/>
      <c r="AG136" s="79"/>
      <c r="AH136" s="80">
        <f t="shared" si="40"/>
        <v>0</v>
      </c>
      <c r="AI136" s="82"/>
      <c r="AJ136" s="82">
        <f t="shared" si="7"/>
        <v>342.0506219</v>
      </c>
      <c r="AK136" s="83">
        <f t="shared" si="41"/>
        <v>342.0506219</v>
      </c>
      <c r="AL136" s="84">
        <f t="shared" si="42"/>
        <v>560.6106219</v>
      </c>
      <c r="AP136" s="85">
        <f t="shared" si="9"/>
        <v>1</v>
      </c>
      <c r="AQ136" s="20">
        <f t="shared" si="10"/>
        <v>1</v>
      </c>
      <c r="AR136" s="20">
        <f t="shared" si="11"/>
        <v>1</v>
      </c>
      <c r="AS136" s="86">
        <f t="shared" si="12"/>
        <v>7701.62</v>
      </c>
      <c r="AT136" s="87">
        <f t="shared" si="13"/>
        <v>21341.62</v>
      </c>
      <c r="AU136" s="88">
        <f t="shared" si="14"/>
        <v>1.233333333</v>
      </c>
      <c r="AV136" s="89" t="str">
        <f t="shared" si="15"/>
        <v>#VALUE!</v>
      </c>
      <c r="AW136" s="90" t="str">
        <f t="shared" si="16"/>
        <v>#VALUE!</v>
      </c>
      <c r="AY136" s="85">
        <f t="shared" si="17"/>
        <v>0</v>
      </c>
      <c r="AZ136" s="20">
        <f t="shared" si="18"/>
        <v>1</v>
      </c>
      <c r="BA136" s="20">
        <f t="shared" si="19"/>
        <v>0</v>
      </c>
      <c r="BB136" s="91">
        <f t="shared" si="20"/>
        <v>0</v>
      </c>
      <c r="BC136" s="87">
        <f t="shared" si="21"/>
        <v>0</v>
      </c>
      <c r="BD136" s="92">
        <f t="shared" si="22"/>
        <v>0</v>
      </c>
      <c r="BE136" s="89" t="str">
        <f t="shared" si="23"/>
        <v>#VALUE!</v>
      </c>
      <c r="BF136" s="90">
        <f t="shared" si="24"/>
        <v>0</v>
      </c>
      <c r="BH136" s="93">
        <f t="shared" si="25"/>
        <v>21341.62</v>
      </c>
      <c r="BI136" s="94">
        <f t="shared" si="26"/>
        <v>1</v>
      </c>
      <c r="BJ136" s="95" t="str">
        <f t="shared" si="27"/>
        <v>#VALUE!</v>
      </c>
      <c r="BK136" s="96" t="str">
        <f t="shared" si="28"/>
        <v>#VALUE!</v>
      </c>
      <c r="BM136" s="97">
        <f t="shared" si="29"/>
        <v>1</v>
      </c>
    </row>
    <row r="137" ht="12.75" customHeight="1">
      <c r="A137" s="65"/>
      <c r="B137" s="66" t="s">
        <v>300</v>
      </c>
      <c r="C137" s="67">
        <v>26125.0</v>
      </c>
      <c r="D137" s="68">
        <v>13.0</v>
      </c>
      <c r="E137" s="67">
        <v>22300.95</v>
      </c>
      <c r="F137" s="68" t="s">
        <v>56</v>
      </c>
      <c r="G137" s="69">
        <v>41453.0</v>
      </c>
      <c r="H137" s="71" t="s">
        <v>57</v>
      </c>
      <c r="I137" s="69">
        <v>41759.0</v>
      </c>
      <c r="J137" s="71">
        <f t="shared" si="1"/>
        <v>10.2</v>
      </c>
      <c r="K137" s="72" t="s">
        <v>301</v>
      </c>
      <c r="L137" s="72">
        <v>55000.0</v>
      </c>
      <c r="M137" s="73">
        <v>1070.55</v>
      </c>
      <c r="N137" s="73">
        <v>6067.94</v>
      </c>
      <c r="O137" s="73">
        <v>6105.06</v>
      </c>
      <c r="P137" s="73">
        <v>0.0</v>
      </c>
      <c r="Q137" s="73">
        <f t="shared" si="35"/>
        <v>0</v>
      </c>
      <c r="R137" s="74">
        <f t="shared" si="4"/>
        <v>0</v>
      </c>
      <c r="S137" s="74">
        <f t="shared" si="5"/>
        <v>1</v>
      </c>
      <c r="T137" s="75"/>
      <c r="V137" s="76">
        <v>200.6</v>
      </c>
      <c r="W137" s="77"/>
      <c r="X137" s="77">
        <v>14.04</v>
      </c>
      <c r="Y137" s="77"/>
      <c r="Z137" s="77">
        <f>124.44+426.02+176.12</f>
        <v>726.58</v>
      </c>
      <c r="AA137" s="77">
        <v>1892.4</v>
      </c>
      <c r="AB137" s="78">
        <f t="shared" si="38"/>
        <v>2833.62</v>
      </c>
      <c r="AC137" s="77"/>
      <c r="AD137" s="79">
        <v>0.03</v>
      </c>
      <c r="AE137" s="80">
        <f t="shared" si="39"/>
        <v>329.931863</v>
      </c>
      <c r="AF137" s="81"/>
      <c r="AG137" s="79"/>
      <c r="AH137" s="80">
        <f t="shared" si="40"/>
        <v>0</v>
      </c>
      <c r="AI137" s="82"/>
      <c r="AJ137" s="82">
        <f t="shared" si="7"/>
        <v>329.931863</v>
      </c>
      <c r="AK137" s="83">
        <f t="shared" si="41"/>
        <v>329.931863</v>
      </c>
      <c r="AL137" s="84">
        <f t="shared" si="42"/>
        <v>1070.551863</v>
      </c>
      <c r="AP137" s="85">
        <f t="shared" si="9"/>
        <v>1</v>
      </c>
      <c r="AQ137" s="20">
        <f t="shared" si="10"/>
        <v>1</v>
      </c>
      <c r="AR137" s="20">
        <f t="shared" si="11"/>
        <v>1</v>
      </c>
      <c r="AS137" s="86">
        <f t="shared" si="12"/>
        <v>12173</v>
      </c>
      <c r="AT137" s="87">
        <f t="shared" si="13"/>
        <v>22300.95</v>
      </c>
      <c r="AU137" s="88">
        <f t="shared" si="14"/>
        <v>10.2</v>
      </c>
      <c r="AV137" s="89" t="str">
        <f t="shared" si="15"/>
        <v>#VALUE!</v>
      </c>
      <c r="AW137" s="90" t="str">
        <f t="shared" si="16"/>
        <v>#VALUE!</v>
      </c>
      <c r="AY137" s="85">
        <f t="shared" si="17"/>
        <v>0</v>
      </c>
      <c r="AZ137" s="20">
        <f t="shared" si="18"/>
        <v>1</v>
      </c>
      <c r="BA137" s="20">
        <f t="shared" si="19"/>
        <v>0</v>
      </c>
      <c r="BB137" s="91">
        <f t="shared" si="20"/>
        <v>0</v>
      </c>
      <c r="BC137" s="87">
        <f t="shared" si="21"/>
        <v>0</v>
      </c>
      <c r="BD137" s="92">
        <f t="shared" si="22"/>
        <v>0</v>
      </c>
      <c r="BE137" s="89" t="str">
        <f t="shared" si="23"/>
        <v>#VALUE!</v>
      </c>
      <c r="BF137" s="90">
        <f t="shared" si="24"/>
        <v>0</v>
      </c>
      <c r="BH137" s="93">
        <f t="shared" si="25"/>
        <v>22300.95</v>
      </c>
      <c r="BI137" s="94">
        <f t="shared" si="26"/>
        <v>1</v>
      </c>
      <c r="BJ137" s="95" t="str">
        <f t="shared" si="27"/>
        <v>#VALUE!</v>
      </c>
      <c r="BK137" s="96" t="str">
        <f t="shared" si="28"/>
        <v>#VALUE!</v>
      </c>
      <c r="BM137" s="97">
        <f t="shared" si="29"/>
        <v>1</v>
      </c>
    </row>
    <row r="138" ht="12.75" customHeight="1">
      <c r="A138" s="65"/>
      <c r="B138" s="66" t="s">
        <v>302</v>
      </c>
      <c r="C138" s="67">
        <v>16200.0</v>
      </c>
      <c r="D138" s="68">
        <v>12.0</v>
      </c>
      <c r="E138" s="67">
        <v>15897.52</v>
      </c>
      <c r="F138" s="68" t="s">
        <v>56</v>
      </c>
      <c r="G138" s="69">
        <v>41478.0</v>
      </c>
      <c r="H138" s="71" t="s">
        <v>57</v>
      </c>
      <c r="I138" s="69">
        <v>41478.0</v>
      </c>
      <c r="J138" s="71">
        <f t="shared" si="1"/>
        <v>0</v>
      </c>
      <c r="K138" s="72" t="s">
        <v>303</v>
      </c>
      <c r="L138" s="72">
        <v>20900.0</v>
      </c>
      <c r="M138" s="73">
        <v>812.14</v>
      </c>
      <c r="N138" s="73">
        <v>5302.38</v>
      </c>
      <c r="O138" s="73">
        <v>1742.12</v>
      </c>
      <c r="P138" s="73">
        <f t="shared" ref="P138:P186" si="43">IF(L138="N/A",0,IF(L138-E138&gt;0,0,E138-L138))</f>
        <v>0</v>
      </c>
      <c r="Q138" s="73">
        <f t="shared" si="35"/>
        <v>2854.16</v>
      </c>
      <c r="R138" s="74">
        <f t="shared" si="4"/>
        <v>0.1795349212</v>
      </c>
      <c r="S138" s="74">
        <f t="shared" si="5"/>
        <v>0.8204650788</v>
      </c>
      <c r="T138" s="75"/>
      <c r="V138" s="76">
        <v>157.25</v>
      </c>
      <c r="W138" s="77"/>
      <c r="X138" s="77">
        <v>11.01</v>
      </c>
      <c r="Y138" s="77"/>
      <c r="Z138" s="77">
        <f>88.43+163.91</f>
        <v>252.34</v>
      </c>
      <c r="AA138" s="77">
        <v>3777.05</v>
      </c>
      <c r="AB138" s="78">
        <f t="shared" si="38"/>
        <v>4197.65</v>
      </c>
      <c r="AC138" s="77"/>
      <c r="AD138" s="79">
        <v>0.07</v>
      </c>
      <c r="AE138" s="80">
        <f t="shared" si="39"/>
        <v>548.7911014</v>
      </c>
      <c r="AF138" s="81"/>
      <c r="AG138" s="79"/>
      <c r="AH138" s="80">
        <f t="shared" si="40"/>
        <v>0</v>
      </c>
      <c r="AI138" s="82"/>
      <c r="AJ138" s="82">
        <f t="shared" si="7"/>
        <v>548.7911014</v>
      </c>
      <c r="AK138" s="83">
        <f t="shared" si="41"/>
        <v>548.7911014</v>
      </c>
      <c r="AL138" s="84">
        <f t="shared" si="42"/>
        <v>812.1411014</v>
      </c>
      <c r="AP138" s="85">
        <f t="shared" si="9"/>
        <v>1</v>
      </c>
      <c r="AQ138" s="20">
        <f t="shared" si="10"/>
        <v>1</v>
      </c>
      <c r="AR138" s="20">
        <f t="shared" si="11"/>
        <v>1</v>
      </c>
      <c r="AS138" s="86">
        <f t="shared" si="12"/>
        <v>7044.5</v>
      </c>
      <c r="AT138" s="87">
        <f t="shared" si="13"/>
        <v>15897.52</v>
      </c>
      <c r="AU138" s="88">
        <f t="shared" si="14"/>
        <v>0</v>
      </c>
      <c r="AV138" s="89" t="str">
        <f t="shared" si="15"/>
        <v>#VALUE!</v>
      </c>
      <c r="AW138" s="90" t="str">
        <f t="shared" si="16"/>
        <v>#VALUE!</v>
      </c>
      <c r="AY138" s="85">
        <f t="shared" si="17"/>
        <v>0</v>
      </c>
      <c r="AZ138" s="20">
        <f t="shared" si="18"/>
        <v>1</v>
      </c>
      <c r="BA138" s="20">
        <f t="shared" si="19"/>
        <v>0</v>
      </c>
      <c r="BB138" s="91">
        <f t="shared" si="20"/>
        <v>0</v>
      </c>
      <c r="BC138" s="87">
        <f t="shared" si="21"/>
        <v>0</v>
      </c>
      <c r="BD138" s="92">
        <f t="shared" si="22"/>
        <v>0</v>
      </c>
      <c r="BE138" s="89" t="str">
        <f t="shared" si="23"/>
        <v>#VALUE!</v>
      </c>
      <c r="BF138" s="90">
        <f t="shared" si="24"/>
        <v>0</v>
      </c>
      <c r="BH138" s="93">
        <f t="shared" si="25"/>
        <v>15897.52</v>
      </c>
      <c r="BI138" s="94">
        <f t="shared" si="26"/>
        <v>1</v>
      </c>
      <c r="BJ138" s="95" t="str">
        <f t="shared" si="27"/>
        <v>#VALUE!</v>
      </c>
      <c r="BK138" s="96" t="str">
        <f t="shared" si="28"/>
        <v>#VALUE!</v>
      </c>
      <c r="BM138" s="97">
        <f t="shared" si="29"/>
        <v>1</v>
      </c>
    </row>
    <row r="139" ht="12.75" customHeight="1">
      <c r="A139" s="65"/>
      <c r="B139" s="66" t="s">
        <v>304</v>
      </c>
      <c r="C139" s="67">
        <v>21375.0</v>
      </c>
      <c r="D139" s="68">
        <v>13.0</v>
      </c>
      <c r="E139" s="67">
        <v>16092.42</v>
      </c>
      <c r="F139" s="68" t="s">
        <v>56</v>
      </c>
      <c r="G139" s="69">
        <v>41515.0</v>
      </c>
      <c r="H139" s="71" t="s">
        <v>57</v>
      </c>
      <c r="I139" s="69">
        <v>41572.0</v>
      </c>
      <c r="J139" s="71">
        <f t="shared" si="1"/>
        <v>1.9</v>
      </c>
      <c r="K139" s="72" t="s">
        <v>69</v>
      </c>
      <c r="L139" s="72">
        <v>22690.0</v>
      </c>
      <c r="M139" s="73">
        <v>983.12</v>
      </c>
      <c r="N139" s="73">
        <v>3699.22</v>
      </c>
      <c r="O139" s="73">
        <v>0.0</v>
      </c>
      <c r="P139" s="73">
        <f t="shared" si="43"/>
        <v>0</v>
      </c>
      <c r="Q139" s="73">
        <f t="shared" si="35"/>
        <v>0</v>
      </c>
      <c r="R139" s="74">
        <f t="shared" si="4"/>
        <v>0</v>
      </c>
      <c r="S139" s="74">
        <f t="shared" si="5"/>
        <v>1</v>
      </c>
      <c r="T139" s="75"/>
      <c r="V139" s="76">
        <v>100.3</v>
      </c>
      <c r="W139" s="77"/>
      <c r="X139" s="77">
        <v>7.02</v>
      </c>
      <c r="Y139" s="77"/>
      <c r="Z139" s="77">
        <f>50.83+239.19+85+45.56</f>
        <v>420.58</v>
      </c>
      <c r="AA139" s="77">
        <v>1927.94</v>
      </c>
      <c r="AB139" s="78">
        <f t="shared" si="38"/>
        <v>2455.84</v>
      </c>
      <c r="AC139" s="77"/>
      <c r="AD139" s="79">
        <v>0.07</v>
      </c>
      <c r="AE139" s="80">
        <f t="shared" si="39"/>
        <v>555.5191562</v>
      </c>
      <c r="AF139" s="81"/>
      <c r="AG139" s="79"/>
      <c r="AH139" s="80">
        <f t="shared" si="40"/>
        <v>0</v>
      </c>
      <c r="AI139" s="82"/>
      <c r="AJ139" s="82">
        <f t="shared" si="7"/>
        <v>555.5191562</v>
      </c>
      <c r="AK139" s="83">
        <f t="shared" si="41"/>
        <v>555.5191562</v>
      </c>
      <c r="AL139" s="84">
        <f t="shared" si="42"/>
        <v>983.1191562</v>
      </c>
      <c r="AP139" s="85">
        <f t="shared" si="9"/>
        <v>1</v>
      </c>
      <c r="AQ139" s="20">
        <f t="shared" si="10"/>
        <v>1</v>
      </c>
      <c r="AR139" s="20">
        <f t="shared" si="11"/>
        <v>1</v>
      </c>
      <c r="AS139" s="86">
        <f t="shared" si="12"/>
        <v>3699.22</v>
      </c>
      <c r="AT139" s="87">
        <f t="shared" si="13"/>
        <v>16092.42</v>
      </c>
      <c r="AU139" s="88">
        <f t="shared" si="14"/>
        <v>1.9</v>
      </c>
      <c r="AV139" s="89" t="str">
        <f t="shared" si="15"/>
        <v>#VALUE!</v>
      </c>
      <c r="AW139" s="90" t="str">
        <f t="shared" si="16"/>
        <v>#VALUE!</v>
      </c>
      <c r="AY139" s="85">
        <f t="shared" si="17"/>
        <v>0</v>
      </c>
      <c r="AZ139" s="20">
        <f t="shared" si="18"/>
        <v>1</v>
      </c>
      <c r="BA139" s="20">
        <f t="shared" si="19"/>
        <v>0</v>
      </c>
      <c r="BB139" s="91">
        <f t="shared" si="20"/>
        <v>0</v>
      </c>
      <c r="BC139" s="87">
        <f t="shared" si="21"/>
        <v>0</v>
      </c>
      <c r="BD139" s="92">
        <f t="shared" si="22"/>
        <v>0</v>
      </c>
      <c r="BE139" s="89" t="str">
        <f t="shared" si="23"/>
        <v>#VALUE!</v>
      </c>
      <c r="BF139" s="90">
        <f t="shared" si="24"/>
        <v>0</v>
      </c>
      <c r="BH139" s="93">
        <f t="shared" si="25"/>
        <v>16092.42</v>
      </c>
      <c r="BI139" s="94">
        <f t="shared" si="26"/>
        <v>1</v>
      </c>
      <c r="BJ139" s="95" t="str">
        <f t="shared" si="27"/>
        <v>#VALUE!</v>
      </c>
      <c r="BK139" s="96" t="str">
        <f t="shared" si="28"/>
        <v>#VALUE!</v>
      </c>
      <c r="BM139" s="97">
        <f t="shared" si="29"/>
        <v>1</v>
      </c>
    </row>
    <row r="140" ht="12.75" customHeight="1">
      <c r="A140" s="65"/>
      <c r="B140" s="66" t="s">
        <v>305</v>
      </c>
      <c r="C140" s="67">
        <v>24750.0</v>
      </c>
      <c r="D140" s="68">
        <v>12.0</v>
      </c>
      <c r="E140" s="67">
        <v>22517.77</v>
      </c>
      <c r="F140" s="68" t="s">
        <v>64</v>
      </c>
      <c r="G140" s="69">
        <v>41590.0</v>
      </c>
      <c r="H140" s="71" t="s">
        <v>57</v>
      </c>
      <c r="I140" s="69">
        <v>41848.0</v>
      </c>
      <c r="J140" s="71">
        <f t="shared" si="1"/>
        <v>8.6</v>
      </c>
      <c r="K140" s="72" t="s">
        <v>69</v>
      </c>
      <c r="L140" s="72">
        <v>40000.0</v>
      </c>
      <c r="M140" s="73">
        <v>975.0</v>
      </c>
      <c r="N140" s="73">
        <v>900.0</v>
      </c>
      <c r="O140" s="73">
        <v>1883.78</v>
      </c>
      <c r="P140" s="73">
        <f t="shared" si="43"/>
        <v>0</v>
      </c>
      <c r="Q140" s="73">
        <f t="shared" si="35"/>
        <v>0</v>
      </c>
      <c r="R140" s="74">
        <f t="shared" si="4"/>
        <v>0</v>
      </c>
      <c r="S140" s="74">
        <f t="shared" si="5"/>
        <v>1</v>
      </c>
      <c r="T140" s="75"/>
      <c r="V140" s="76">
        <v>60.75</v>
      </c>
      <c r="W140" s="77">
        <v>5.28</v>
      </c>
      <c r="X140" s="77">
        <v>4.62</v>
      </c>
      <c r="Y140" s="77">
        <v>74.91</v>
      </c>
      <c r="Z140" s="77">
        <f>32.94+79.92</f>
        <v>112.86</v>
      </c>
      <c r="AA140" s="77">
        <f>816.49+78.72+723</f>
        <v>1618.21</v>
      </c>
      <c r="AB140" s="78">
        <f t="shared" si="38"/>
        <v>1876.63</v>
      </c>
      <c r="AC140" s="77">
        <v>12538.93</v>
      </c>
      <c r="AD140" s="79">
        <v>0.07</v>
      </c>
      <c r="AE140" s="80">
        <f>((AC140*AD140)/365)*180</f>
        <v>432.8507342</v>
      </c>
      <c r="AF140" s="81">
        <v>9978.84</v>
      </c>
      <c r="AG140" s="79">
        <v>0.07</v>
      </c>
      <c r="AH140" s="80">
        <f>((AF140*AG140)/365)*180</f>
        <v>344.4750247</v>
      </c>
      <c r="AI140" s="82">
        <f>AC140+AF140</f>
        <v>22517.77</v>
      </c>
      <c r="AJ140" s="82">
        <f t="shared" si="7"/>
        <v>777.3257589</v>
      </c>
      <c r="AK140" s="83">
        <f t="shared" si="41"/>
        <v>777.3257589</v>
      </c>
      <c r="AL140" s="84">
        <f t="shared" si="42"/>
        <v>974.9957589</v>
      </c>
      <c r="AP140" s="85">
        <f t="shared" si="9"/>
        <v>0</v>
      </c>
      <c r="AQ140" s="20">
        <f t="shared" si="10"/>
        <v>1</v>
      </c>
      <c r="AR140" s="20">
        <f t="shared" si="11"/>
        <v>0</v>
      </c>
      <c r="AS140" s="86">
        <f t="shared" si="12"/>
        <v>0</v>
      </c>
      <c r="AT140" s="87">
        <f t="shared" si="13"/>
        <v>0</v>
      </c>
      <c r="AU140" s="88">
        <f t="shared" si="14"/>
        <v>0</v>
      </c>
      <c r="AV140" s="89" t="str">
        <f t="shared" si="15"/>
        <v>#VALUE!</v>
      </c>
      <c r="AW140" s="90">
        <f t="shared" si="16"/>
        <v>0</v>
      </c>
      <c r="AY140" s="85">
        <f t="shared" si="17"/>
        <v>1</v>
      </c>
      <c r="AZ140" s="20">
        <f t="shared" si="18"/>
        <v>1</v>
      </c>
      <c r="BA140" s="20">
        <f t="shared" si="19"/>
        <v>1</v>
      </c>
      <c r="BB140" s="91">
        <f t="shared" si="20"/>
        <v>2783.78</v>
      </c>
      <c r="BC140" s="87">
        <f t="shared" si="21"/>
        <v>22517.77</v>
      </c>
      <c r="BD140" s="92">
        <f t="shared" si="22"/>
        <v>8.6</v>
      </c>
      <c r="BE140" s="89" t="str">
        <f t="shared" si="23"/>
        <v>#VALUE!</v>
      </c>
      <c r="BF140" s="90" t="str">
        <f t="shared" si="24"/>
        <v>#VALUE!</v>
      </c>
      <c r="BH140" s="93">
        <f t="shared" si="25"/>
        <v>22517.77</v>
      </c>
      <c r="BI140" s="94">
        <f t="shared" si="26"/>
        <v>1</v>
      </c>
      <c r="BJ140" s="95" t="str">
        <f t="shared" si="27"/>
        <v>#VALUE!</v>
      </c>
      <c r="BK140" s="96" t="str">
        <f t="shared" si="28"/>
        <v>#VALUE!</v>
      </c>
      <c r="BM140" s="97">
        <f t="shared" si="29"/>
        <v>1</v>
      </c>
    </row>
    <row r="141" ht="12.75" customHeight="1">
      <c r="A141" s="65"/>
      <c r="B141" s="66" t="s">
        <v>306</v>
      </c>
      <c r="C141" s="67">
        <v>28000.0</v>
      </c>
      <c r="D141" s="68">
        <v>9.0</v>
      </c>
      <c r="E141" s="67">
        <v>23579.62</v>
      </c>
      <c r="F141" s="68" t="s">
        <v>64</v>
      </c>
      <c r="G141" s="69">
        <v>41607.0</v>
      </c>
      <c r="H141" s="71" t="s">
        <v>57</v>
      </c>
      <c r="I141" s="69">
        <v>41882.0</v>
      </c>
      <c r="J141" s="71">
        <f t="shared" si="1"/>
        <v>9.166666667</v>
      </c>
      <c r="K141" s="72" t="s">
        <v>307</v>
      </c>
      <c r="L141" s="72">
        <v>32000.0</v>
      </c>
      <c r="M141" s="73">
        <v>420.12</v>
      </c>
      <c r="N141" s="73">
        <v>3827.51</v>
      </c>
      <c r="O141" s="73">
        <v>1365.32</v>
      </c>
      <c r="P141" s="73">
        <f t="shared" si="43"/>
        <v>0</v>
      </c>
      <c r="Q141" s="73">
        <f t="shared" si="35"/>
        <v>0</v>
      </c>
      <c r="R141" s="74">
        <f t="shared" si="4"/>
        <v>0</v>
      </c>
      <c r="S141" s="74">
        <f t="shared" si="5"/>
        <v>1</v>
      </c>
      <c r="T141" s="75"/>
      <c r="V141" s="76">
        <v>114.75</v>
      </c>
      <c r="W141" s="77"/>
      <c r="X141" s="77">
        <v>8.03</v>
      </c>
      <c r="Y141" s="77"/>
      <c r="Z141" s="77">
        <v>63.24</v>
      </c>
      <c r="AA141" s="77">
        <f>813.98+203.5</f>
        <v>1017.48</v>
      </c>
      <c r="AB141" s="78">
        <f t="shared" si="38"/>
        <v>1203.5</v>
      </c>
      <c r="AC141" s="77"/>
      <c r="AD141" s="79">
        <v>0.03</v>
      </c>
      <c r="AE141" s="80">
        <f>((E141*AD141)/365)*180</f>
        <v>348.8491726</v>
      </c>
      <c r="AF141" s="81"/>
      <c r="AG141" s="79"/>
      <c r="AH141" s="80">
        <f>((E141*AG141)/365)*180</f>
        <v>0</v>
      </c>
      <c r="AI141" s="82"/>
      <c r="AJ141" s="82">
        <f t="shared" si="7"/>
        <v>348.8491726</v>
      </c>
      <c r="AK141" s="83">
        <f t="shared" si="41"/>
        <v>348.8491726</v>
      </c>
      <c r="AL141" s="84">
        <f t="shared" si="42"/>
        <v>420.1191726</v>
      </c>
      <c r="AP141" s="85">
        <f t="shared" si="9"/>
        <v>0</v>
      </c>
      <c r="AQ141" s="20">
        <f t="shared" si="10"/>
        <v>1</v>
      </c>
      <c r="AR141" s="20">
        <f t="shared" si="11"/>
        <v>0</v>
      </c>
      <c r="AS141" s="86">
        <f t="shared" si="12"/>
        <v>0</v>
      </c>
      <c r="AT141" s="87">
        <f t="shared" si="13"/>
        <v>0</v>
      </c>
      <c r="AU141" s="88">
        <f t="shared" si="14"/>
        <v>0</v>
      </c>
      <c r="AV141" s="89" t="str">
        <f t="shared" si="15"/>
        <v>#VALUE!</v>
      </c>
      <c r="AW141" s="90">
        <f t="shared" si="16"/>
        <v>0</v>
      </c>
      <c r="AY141" s="85">
        <f t="shared" si="17"/>
        <v>1</v>
      </c>
      <c r="AZ141" s="20">
        <f t="shared" si="18"/>
        <v>1</v>
      </c>
      <c r="BA141" s="20">
        <f t="shared" si="19"/>
        <v>1</v>
      </c>
      <c r="BB141" s="91">
        <f t="shared" si="20"/>
        <v>5192.83</v>
      </c>
      <c r="BC141" s="87">
        <f t="shared" si="21"/>
        <v>23579.62</v>
      </c>
      <c r="BD141" s="92">
        <f t="shared" si="22"/>
        <v>9.166666667</v>
      </c>
      <c r="BE141" s="89" t="str">
        <f t="shared" si="23"/>
        <v>#VALUE!</v>
      </c>
      <c r="BF141" s="90" t="str">
        <f t="shared" si="24"/>
        <v>#VALUE!</v>
      </c>
      <c r="BH141" s="93">
        <f t="shared" si="25"/>
        <v>23579.62</v>
      </c>
      <c r="BI141" s="94">
        <f t="shared" si="26"/>
        <v>1</v>
      </c>
      <c r="BJ141" s="95" t="str">
        <f t="shared" si="27"/>
        <v>#VALUE!</v>
      </c>
      <c r="BK141" s="96" t="str">
        <f t="shared" si="28"/>
        <v>#VALUE!</v>
      </c>
      <c r="BM141" s="97">
        <f t="shared" si="29"/>
        <v>1</v>
      </c>
    </row>
    <row r="142" ht="12.75" customHeight="1">
      <c r="A142" s="65"/>
      <c r="B142" s="66" t="s">
        <v>308</v>
      </c>
      <c r="C142" s="67">
        <v>28262.5</v>
      </c>
      <c r="D142" s="68">
        <v>13.0</v>
      </c>
      <c r="E142" s="67">
        <v>26670.08</v>
      </c>
      <c r="F142" s="68" t="s">
        <v>56</v>
      </c>
      <c r="G142" s="69">
        <v>41698.0</v>
      </c>
      <c r="H142" s="71" t="s">
        <v>57</v>
      </c>
      <c r="I142" s="69">
        <v>41882.0</v>
      </c>
      <c r="J142" s="71">
        <f t="shared" si="1"/>
        <v>6.133333333</v>
      </c>
      <c r="K142" s="72" t="s">
        <v>69</v>
      </c>
      <c r="L142" s="72">
        <v>45000.0</v>
      </c>
      <c r="M142" s="73">
        <v>1757.17</v>
      </c>
      <c r="N142" s="73">
        <v>5029.82</v>
      </c>
      <c r="O142" s="73">
        <v>15.0</v>
      </c>
      <c r="P142" s="73">
        <f t="shared" si="43"/>
        <v>0</v>
      </c>
      <c r="Q142" s="73">
        <f t="shared" si="35"/>
        <v>0</v>
      </c>
      <c r="R142" s="74">
        <f t="shared" si="4"/>
        <v>0</v>
      </c>
      <c r="S142" s="74">
        <f t="shared" si="5"/>
        <v>1</v>
      </c>
      <c r="T142" s="75"/>
      <c r="V142" s="76">
        <v>97.75</v>
      </c>
      <c r="W142" s="77"/>
      <c r="X142" s="77">
        <v>6.84</v>
      </c>
      <c r="Y142" s="77">
        <v>267.11</v>
      </c>
      <c r="Z142" s="77">
        <f>101.66+117.53+74.06+89.7+80.96</f>
        <v>463.91</v>
      </c>
      <c r="AA142" s="77">
        <f>2428.95+2113.74</f>
        <v>4542.69</v>
      </c>
      <c r="AB142" s="78">
        <f t="shared" si="38"/>
        <v>5378.3</v>
      </c>
      <c r="AC142" s="77">
        <v>12781.7</v>
      </c>
      <c r="AD142" s="79">
        <v>0.0775</v>
      </c>
      <c r="AE142" s="80">
        <f>((AC142*AD142)/365)*180</f>
        <v>488.5060685</v>
      </c>
      <c r="AF142" s="81">
        <v>13888.38</v>
      </c>
      <c r="AG142" s="79">
        <v>0.0775</v>
      </c>
      <c r="AH142" s="80">
        <f>((AF142*AG142)/365)*180</f>
        <v>530.8024685</v>
      </c>
      <c r="AI142" s="82">
        <f>AC142+AF142</f>
        <v>26670.08</v>
      </c>
      <c r="AJ142" s="82">
        <f t="shared" si="7"/>
        <v>1019.308537</v>
      </c>
      <c r="AK142" s="83">
        <f t="shared" si="41"/>
        <v>1019.308537</v>
      </c>
      <c r="AL142" s="84">
        <f t="shared" si="42"/>
        <v>1757.168537</v>
      </c>
      <c r="AP142" s="85">
        <f t="shared" si="9"/>
        <v>1</v>
      </c>
      <c r="AQ142" s="20">
        <f t="shared" si="10"/>
        <v>1</v>
      </c>
      <c r="AR142" s="20">
        <f t="shared" si="11"/>
        <v>1</v>
      </c>
      <c r="AS142" s="86">
        <f t="shared" si="12"/>
        <v>5044.82</v>
      </c>
      <c r="AT142" s="87">
        <f t="shared" si="13"/>
        <v>26670.08</v>
      </c>
      <c r="AU142" s="88">
        <f t="shared" si="14"/>
        <v>6.133333333</v>
      </c>
      <c r="AV142" s="89" t="str">
        <f t="shared" si="15"/>
        <v>#VALUE!</v>
      </c>
      <c r="AW142" s="90" t="str">
        <f t="shared" si="16"/>
        <v>#VALUE!</v>
      </c>
      <c r="AY142" s="85">
        <f t="shared" si="17"/>
        <v>0</v>
      </c>
      <c r="AZ142" s="20">
        <f t="shared" si="18"/>
        <v>1</v>
      </c>
      <c r="BA142" s="20">
        <f t="shared" si="19"/>
        <v>0</v>
      </c>
      <c r="BB142" s="91">
        <f t="shared" si="20"/>
        <v>0</v>
      </c>
      <c r="BC142" s="87">
        <f t="shared" si="21"/>
        <v>0</v>
      </c>
      <c r="BD142" s="92">
        <f t="shared" si="22"/>
        <v>0</v>
      </c>
      <c r="BE142" s="89" t="str">
        <f t="shared" si="23"/>
        <v>#VALUE!</v>
      </c>
      <c r="BF142" s="90">
        <f t="shared" si="24"/>
        <v>0</v>
      </c>
      <c r="BH142" s="93">
        <f t="shared" si="25"/>
        <v>26670.08</v>
      </c>
      <c r="BI142" s="94">
        <f t="shared" si="26"/>
        <v>1</v>
      </c>
      <c r="BJ142" s="95" t="str">
        <f t="shared" si="27"/>
        <v>#VALUE!</v>
      </c>
      <c r="BK142" s="96" t="str">
        <f t="shared" si="28"/>
        <v>#VALUE!</v>
      </c>
      <c r="BM142" s="97">
        <f t="shared" si="29"/>
        <v>1</v>
      </c>
    </row>
    <row r="143" ht="12.75" customHeight="1">
      <c r="A143" s="65"/>
      <c r="B143" s="66" t="s">
        <v>309</v>
      </c>
      <c r="C143" s="67">
        <v>54030.0</v>
      </c>
      <c r="D143" s="68">
        <v>13.0</v>
      </c>
      <c r="E143" s="67">
        <v>50872.66</v>
      </c>
      <c r="F143" s="68" t="s">
        <v>56</v>
      </c>
      <c r="G143" s="69">
        <v>41757.0</v>
      </c>
      <c r="H143" s="71" t="s">
        <v>57</v>
      </c>
      <c r="I143" s="69">
        <v>42122.0</v>
      </c>
      <c r="J143" s="71">
        <f t="shared" si="1"/>
        <v>12.16666667</v>
      </c>
      <c r="K143" s="72" t="s">
        <v>310</v>
      </c>
      <c r="L143" s="72">
        <v>93000.0</v>
      </c>
      <c r="M143" s="73">
        <v>2166.07</v>
      </c>
      <c r="N143" s="73">
        <v>8510.92</v>
      </c>
      <c r="O143" s="73">
        <v>1927.6</v>
      </c>
      <c r="P143" s="73">
        <f t="shared" si="43"/>
        <v>0</v>
      </c>
      <c r="Q143" s="73">
        <f t="shared" si="35"/>
        <v>0</v>
      </c>
      <c r="R143" s="74">
        <f t="shared" si="4"/>
        <v>0</v>
      </c>
      <c r="S143" s="74">
        <f t="shared" si="5"/>
        <v>1</v>
      </c>
      <c r="T143" s="75"/>
      <c r="V143" s="76">
        <v>128.0</v>
      </c>
      <c r="W143" s="77"/>
      <c r="X143" s="77">
        <v>8.96</v>
      </c>
      <c r="Y143" s="77"/>
      <c r="Z143" s="77">
        <f>121.28+134.08+145.6</f>
        <v>400.96</v>
      </c>
      <c r="AA143" s="77">
        <v>6265.62</v>
      </c>
      <c r="AB143" s="78">
        <f t="shared" si="38"/>
        <v>6803.54</v>
      </c>
      <c r="AC143" s="77"/>
      <c r="AD143" s="79">
        <v>0.07</v>
      </c>
      <c r="AE143" s="80">
        <f>((E143*AD143)/365)*180</f>
        <v>1756.152099</v>
      </c>
      <c r="AF143" s="81"/>
      <c r="AG143" s="79"/>
      <c r="AH143" s="80">
        <f>((E143*AG143)/365)*180</f>
        <v>0</v>
      </c>
      <c r="AI143" s="82"/>
      <c r="AJ143" s="82">
        <f t="shared" si="7"/>
        <v>1756.152099</v>
      </c>
      <c r="AK143" s="83">
        <f t="shared" si="41"/>
        <v>1756.152099</v>
      </c>
      <c r="AL143" s="84">
        <f t="shared" si="42"/>
        <v>2166.072099</v>
      </c>
      <c r="AP143" s="85">
        <f t="shared" si="9"/>
        <v>1</v>
      </c>
      <c r="AQ143" s="20">
        <f t="shared" si="10"/>
        <v>1</v>
      </c>
      <c r="AR143" s="20">
        <f t="shared" si="11"/>
        <v>1</v>
      </c>
      <c r="AS143" s="86">
        <f t="shared" si="12"/>
        <v>10438.52</v>
      </c>
      <c r="AT143" s="87">
        <f t="shared" si="13"/>
        <v>50872.66</v>
      </c>
      <c r="AU143" s="88">
        <f t="shared" si="14"/>
        <v>12.16666667</v>
      </c>
      <c r="AV143" s="89" t="str">
        <f t="shared" si="15"/>
        <v>#VALUE!</v>
      </c>
      <c r="AW143" s="90" t="str">
        <f t="shared" si="16"/>
        <v>#VALUE!</v>
      </c>
      <c r="AY143" s="85">
        <f t="shared" si="17"/>
        <v>0</v>
      </c>
      <c r="AZ143" s="20">
        <f t="shared" si="18"/>
        <v>1</v>
      </c>
      <c r="BA143" s="20">
        <f t="shared" si="19"/>
        <v>0</v>
      </c>
      <c r="BB143" s="91">
        <f t="shared" si="20"/>
        <v>0</v>
      </c>
      <c r="BC143" s="87">
        <f t="shared" si="21"/>
        <v>0</v>
      </c>
      <c r="BD143" s="92">
        <f t="shared" si="22"/>
        <v>0</v>
      </c>
      <c r="BE143" s="89" t="str">
        <f t="shared" si="23"/>
        <v>#VALUE!</v>
      </c>
      <c r="BF143" s="90">
        <f t="shared" si="24"/>
        <v>0</v>
      </c>
      <c r="BH143" s="93">
        <f t="shared" si="25"/>
        <v>50872.66</v>
      </c>
      <c r="BI143" s="94">
        <f t="shared" si="26"/>
        <v>1</v>
      </c>
      <c r="BJ143" s="95" t="str">
        <f t="shared" si="27"/>
        <v>#VALUE!</v>
      </c>
      <c r="BK143" s="96" t="str">
        <f t="shared" si="28"/>
        <v>#VALUE!</v>
      </c>
      <c r="BM143" s="97">
        <f t="shared" si="29"/>
        <v>1</v>
      </c>
    </row>
    <row r="144" ht="12.75" customHeight="1">
      <c r="A144" s="65"/>
      <c r="B144" s="66" t="s">
        <v>311</v>
      </c>
      <c r="C144" s="67">
        <v>25915.14</v>
      </c>
      <c r="D144" s="68">
        <v>13.0</v>
      </c>
      <c r="E144" s="67">
        <v>24195.5</v>
      </c>
      <c r="F144" s="68" t="s">
        <v>56</v>
      </c>
      <c r="G144" s="69">
        <v>41787.0</v>
      </c>
      <c r="H144" s="71" t="s">
        <v>57</v>
      </c>
      <c r="I144" s="69">
        <v>41971.0</v>
      </c>
      <c r="J144" s="71">
        <f t="shared" si="1"/>
        <v>6.133333333</v>
      </c>
      <c r="K144" s="72" t="s">
        <v>312</v>
      </c>
      <c r="L144" s="72">
        <v>55000.0</v>
      </c>
      <c r="M144" s="73">
        <v>1619.8</v>
      </c>
      <c r="N144" s="73">
        <v>4527.98</v>
      </c>
      <c r="O144" s="73">
        <v>800.0</v>
      </c>
      <c r="P144" s="73">
        <f t="shared" si="43"/>
        <v>0</v>
      </c>
      <c r="Q144" s="73">
        <f t="shared" si="35"/>
        <v>0</v>
      </c>
      <c r="R144" s="74">
        <f t="shared" si="4"/>
        <v>0</v>
      </c>
      <c r="S144" s="74">
        <f t="shared" si="5"/>
        <v>1</v>
      </c>
      <c r="T144" s="75"/>
      <c r="V144" s="76">
        <v>142.92</v>
      </c>
      <c r="W144" s="77">
        <v>43.64</v>
      </c>
      <c r="X144" s="77">
        <v>13.05</v>
      </c>
      <c r="Y144" s="77">
        <v>208.03</v>
      </c>
      <c r="Z144" s="77">
        <f>109.16+176.58+76.68+79.11+62.64</f>
        <v>504.17</v>
      </c>
      <c r="AA144" s="77">
        <f>2115.57+2940.92</f>
        <v>5056.49</v>
      </c>
      <c r="AB144" s="78">
        <f t="shared" si="38"/>
        <v>5968.3</v>
      </c>
      <c r="AC144" s="77">
        <v>14969.28</v>
      </c>
      <c r="AD144" s="79">
        <v>0.0675</v>
      </c>
      <c r="AE144" s="80">
        <f>((AC144*AD144)/365)*180</f>
        <v>498.2924712</v>
      </c>
      <c r="AF144" s="81">
        <v>9226.22</v>
      </c>
      <c r="AG144" s="79">
        <v>0.0775</v>
      </c>
      <c r="AH144" s="80">
        <f>((AF144*AG144)/365)*180</f>
        <v>352.6185452</v>
      </c>
      <c r="AI144" s="82">
        <f>AC144+AF144</f>
        <v>24195.5</v>
      </c>
      <c r="AJ144" s="82">
        <f t="shared" si="7"/>
        <v>850.9110164</v>
      </c>
      <c r="AK144" s="83">
        <f t="shared" si="41"/>
        <v>850.9110164</v>
      </c>
      <c r="AL144" s="84">
        <f t="shared" si="42"/>
        <v>1619.801016</v>
      </c>
      <c r="AP144" s="85">
        <f t="shared" si="9"/>
        <v>1</v>
      </c>
      <c r="AQ144" s="20">
        <f t="shared" si="10"/>
        <v>1</v>
      </c>
      <c r="AR144" s="20">
        <f t="shared" si="11"/>
        <v>1</v>
      </c>
      <c r="AS144" s="86">
        <f t="shared" si="12"/>
        <v>5327.98</v>
      </c>
      <c r="AT144" s="87">
        <f t="shared" si="13"/>
        <v>24195.5</v>
      </c>
      <c r="AU144" s="88">
        <f t="shared" si="14"/>
        <v>6.133333333</v>
      </c>
      <c r="AV144" s="89" t="str">
        <f t="shared" si="15"/>
        <v>#VALUE!</v>
      </c>
      <c r="AW144" s="90" t="str">
        <f t="shared" si="16"/>
        <v>#VALUE!</v>
      </c>
      <c r="AY144" s="85">
        <f t="shared" si="17"/>
        <v>0</v>
      </c>
      <c r="AZ144" s="20">
        <f t="shared" si="18"/>
        <v>1</v>
      </c>
      <c r="BA144" s="20">
        <f t="shared" si="19"/>
        <v>0</v>
      </c>
      <c r="BB144" s="91">
        <f t="shared" si="20"/>
        <v>0</v>
      </c>
      <c r="BC144" s="87">
        <f t="shared" si="21"/>
        <v>0</v>
      </c>
      <c r="BD144" s="92">
        <f t="shared" si="22"/>
        <v>0</v>
      </c>
      <c r="BE144" s="89" t="str">
        <f t="shared" si="23"/>
        <v>#VALUE!</v>
      </c>
      <c r="BF144" s="90">
        <f t="shared" si="24"/>
        <v>0</v>
      </c>
      <c r="BH144" s="93">
        <f t="shared" si="25"/>
        <v>24195.5</v>
      </c>
      <c r="BI144" s="94">
        <f t="shared" si="26"/>
        <v>1</v>
      </c>
      <c r="BJ144" s="95" t="str">
        <f t="shared" si="27"/>
        <v>#VALUE!</v>
      </c>
      <c r="BK144" s="96" t="str">
        <f t="shared" si="28"/>
        <v>#VALUE!</v>
      </c>
      <c r="BM144" s="97">
        <f t="shared" si="29"/>
        <v>1</v>
      </c>
    </row>
    <row r="145" ht="12.75" customHeight="1">
      <c r="A145" s="65"/>
      <c r="B145" s="66" t="s">
        <v>313</v>
      </c>
      <c r="C145" s="67">
        <v>19170.7</v>
      </c>
      <c r="D145" s="68">
        <v>13.0</v>
      </c>
      <c r="E145" s="67">
        <v>16895.9</v>
      </c>
      <c r="F145" s="68" t="s">
        <v>56</v>
      </c>
      <c r="G145" s="69">
        <v>41787.0</v>
      </c>
      <c r="H145" s="71" t="s">
        <v>57</v>
      </c>
      <c r="I145" s="69">
        <v>42152.0</v>
      </c>
      <c r="J145" s="71">
        <f t="shared" si="1"/>
        <v>12.16666667</v>
      </c>
      <c r="K145" s="72" t="s">
        <v>314</v>
      </c>
      <c r="L145" s="72">
        <v>36500.0</v>
      </c>
      <c r="M145" s="73">
        <v>420.23</v>
      </c>
      <c r="N145" s="73">
        <v>3319.44</v>
      </c>
      <c r="O145" s="73">
        <v>5432.76</v>
      </c>
      <c r="P145" s="73">
        <f t="shared" si="43"/>
        <v>0</v>
      </c>
      <c r="Q145" s="73">
        <f t="shared" si="35"/>
        <v>0</v>
      </c>
      <c r="R145" s="74">
        <f t="shared" si="4"/>
        <v>0</v>
      </c>
      <c r="S145" s="74">
        <f t="shared" si="5"/>
        <v>1</v>
      </c>
      <c r="T145" s="75"/>
      <c r="V145" s="76">
        <v>68.0</v>
      </c>
      <c r="W145" s="77">
        <v>7.06</v>
      </c>
      <c r="X145" s="77">
        <v>5.25</v>
      </c>
      <c r="Y145" s="77"/>
      <c r="Z145" s="77">
        <f>40.8+147.84+52.64</f>
        <v>241.28</v>
      </c>
      <c r="AA145" s="77">
        <f>212.91+248.14</f>
        <v>461.05</v>
      </c>
      <c r="AB145" s="78">
        <f t="shared" si="38"/>
        <v>782.64</v>
      </c>
      <c r="AC145" s="77"/>
      <c r="AD145" s="79">
        <v>0.02</v>
      </c>
      <c r="AE145" s="80">
        <f>((E145*AD145)/365)*180</f>
        <v>166.6444932</v>
      </c>
      <c r="AF145" s="81"/>
      <c r="AG145" s="79"/>
      <c r="AH145" s="80">
        <f>((E145*AG145)/365)*180</f>
        <v>0</v>
      </c>
      <c r="AI145" s="82"/>
      <c r="AJ145" s="82">
        <f t="shared" si="7"/>
        <v>166.6444932</v>
      </c>
      <c r="AK145" s="83">
        <f t="shared" si="41"/>
        <v>166.6444932</v>
      </c>
      <c r="AL145" s="84">
        <f t="shared" si="42"/>
        <v>420.2344932</v>
      </c>
      <c r="AP145" s="85">
        <f t="shared" si="9"/>
        <v>1</v>
      </c>
      <c r="AQ145" s="20">
        <f t="shared" si="10"/>
        <v>1</v>
      </c>
      <c r="AR145" s="20">
        <f t="shared" si="11"/>
        <v>1</v>
      </c>
      <c r="AS145" s="86">
        <f t="shared" si="12"/>
        <v>8752.2</v>
      </c>
      <c r="AT145" s="87">
        <f t="shared" si="13"/>
        <v>16895.9</v>
      </c>
      <c r="AU145" s="88">
        <f t="shared" si="14"/>
        <v>12.16666667</v>
      </c>
      <c r="AV145" s="89" t="str">
        <f t="shared" si="15"/>
        <v>#VALUE!</v>
      </c>
      <c r="AW145" s="90" t="str">
        <f t="shared" si="16"/>
        <v>#VALUE!</v>
      </c>
      <c r="AY145" s="85">
        <f t="shared" si="17"/>
        <v>0</v>
      </c>
      <c r="AZ145" s="20">
        <f t="shared" si="18"/>
        <v>1</v>
      </c>
      <c r="BA145" s="20">
        <f t="shared" si="19"/>
        <v>0</v>
      </c>
      <c r="BB145" s="91">
        <f t="shared" si="20"/>
        <v>0</v>
      </c>
      <c r="BC145" s="87">
        <f t="shared" si="21"/>
        <v>0</v>
      </c>
      <c r="BD145" s="92">
        <f t="shared" si="22"/>
        <v>0</v>
      </c>
      <c r="BE145" s="89" t="str">
        <f t="shared" si="23"/>
        <v>#VALUE!</v>
      </c>
      <c r="BF145" s="90">
        <f t="shared" si="24"/>
        <v>0</v>
      </c>
      <c r="BH145" s="93">
        <f t="shared" si="25"/>
        <v>16895.9</v>
      </c>
      <c r="BI145" s="94">
        <f t="shared" si="26"/>
        <v>1</v>
      </c>
      <c r="BJ145" s="95" t="str">
        <f t="shared" si="27"/>
        <v>#VALUE!</v>
      </c>
      <c r="BK145" s="96" t="str">
        <f t="shared" si="28"/>
        <v>#VALUE!</v>
      </c>
      <c r="BM145" s="97">
        <f t="shared" si="29"/>
        <v>1</v>
      </c>
    </row>
    <row r="146" ht="12.75" customHeight="1">
      <c r="A146" s="65"/>
      <c r="B146" s="66" t="s">
        <v>315</v>
      </c>
      <c r="C146" s="67">
        <v>31500.0</v>
      </c>
      <c r="D146" s="68">
        <v>12.0</v>
      </c>
      <c r="E146" s="67">
        <v>27644.980000000003</v>
      </c>
      <c r="F146" s="68" t="s">
        <v>56</v>
      </c>
      <c r="G146" s="69">
        <v>41801.0</v>
      </c>
      <c r="H146" s="71" t="s">
        <v>57</v>
      </c>
      <c r="I146" s="69">
        <v>41880.0</v>
      </c>
      <c r="J146" s="71">
        <f t="shared" si="1"/>
        <v>2.633333333</v>
      </c>
      <c r="K146" s="72" t="s">
        <v>316</v>
      </c>
      <c r="L146" s="72">
        <v>50000.0</v>
      </c>
      <c r="M146" s="73">
        <v>1249.26</v>
      </c>
      <c r="N146" s="73">
        <v>4673.14</v>
      </c>
      <c r="O146" s="73">
        <v>1361.43</v>
      </c>
      <c r="P146" s="73">
        <f t="shared" si="43"/>
        <v>0</v>
      </c>
      <c r="Q146" s="73">
        <f t="shared" si="35"/>
        <v>0</v>
      </c>
      <c r="R146" s="74">
        <f t="shared" si="4"/>
        <v>0</v>
      </c>
      <c r="S146" s="74">
        <f t="shared" si="5"/>
        <v>1</v>
      </c>
      <c r="T146" s="75"/>
      <c r="V146" s="76">
        <v>31.4</v>
      </c>
      <c r="W146" s="77"/>
      <c r="X146" s="77">
        <v>2.2</v>
      </c>
      <c r="Y146" s="77">
        <v>54.43</v>
      </c>
      <c r="Z146" s="77">
        <f>46.6+148.8+47+35.16+15.96</f>
        <v>293.52</v>
      </c>
      <c r="AA146" s="77">
        <f>462.2+1526.56</f>
        <v>1988.76</v>
      </c>
      <c r="AB146" s="78">
        <f t="shared" si="38"/>
        <v>2370.31</v>
      </c>
      <c r="AC146" s="77">
        <v>22388.72</v>
      </c>
      <c r="AD146" s="79">
        <v>0.065</v>
      </c>
      <c r="AE146" s="80">
        <f t="shared" ref="AE146:AE147" si="44">((AC146*AD146)/365)*180</f>
        <v>717.6658192</v>
      </c>
      <c r="AF146" s="81">
        <v>5256.26</v>
      </c>
      <c r="AG146" s="79">
        <v>0.07</v>
      </c>
      <c r="AH146" s="80">
        <f t="shared" ref="AH146:AH147" si="45">((AF146*AG146)/365)*180</f>
        <v>181.4489753</v>
      </c>
      <c r="AI146" s="82">
        <f t="shared" ref="AI146:AI147" si="46">AC146+AF146</f>
        <v>27644.98</v>
      </c>
      <c r="AJ146" s="82">
        <f t="shared" si="7"/>
        <v>899.1147945</v>
      </c>
      <c r="AK146" s="83">
        <f t="shared" si="41"/>
        <v>899.1147945</v>
      </c>
      <c r="AL146" s="84">
        <f t="shared" si="42"/>
        <v>1249.264795</v>
      </c>
      <c r="AP146" s="85">
        <f t="shared" si="9"/>
        <v>1</v>
      </c>
      <c r="AQ146" s="20">
        <f t="shared" si="10"/>
        <v>1</v>
      </c>
      <c r="AR146" s="20">
        <f t="shared" si="11"/>
        <v>1</v>
      </c>
      <c r="AS146" s="86">
        <f t="shared" si="12"/>
        <v>6034.57</v>
      </c>
      <c r="AT146" s="87">
        <f t="shared" si="13"/>
        <v>27644.98</v>
      </c>
      <c r="AU146" s="88">
        <f t="shared" si="14"/>
        <v>2.633333333</v>
      </c>
      <c r="AV146" s="89" t="str">
        <f t="shared" si="15"/>
        <v>#VALUE!</v>
      </c>
      <c r="AW146" s="90" t="str">
        <f t="shared" si="16"/>
        <v>#VALUE!</v>
      </c>
      <c r="AY146" s="85">
        <f t="shared" si="17"/>
        <v>0</v>
      </c>
      <c r="AZ146" s="20">
        <f t="shared" si="18"/>
        <v>1</v>
      </c>
      <c r="BA146" s="20">
        <f t="shared" si="19"/>
        <v>0</v>
      </c>
      <c r="BB146" s="91">
        <f t="shared" si="20"/>
        <v>0</v>
      </c>
      <c r="BC146" s="87">
        <f t="shared" si="21"/>
        <v>0</v>
      </c>
      <c r="BD146" s="92">
        <f t="shared" si="22"/>
        <v>0</v>
      </c>
      <c r="BE146" s="89" t="str">
        <f t="shared" si="23"/>
        <v>#VALUE!</v>
      </c>
      <c r="BF146" s="90">
        <f t="shared" si="24"/>
        <v>0</v>
      </c>
      <c r="BH146" s="93">
        <f t="shared" si="25"/>
        <v>27644.98</v>
      </c>
      <c r="BI146" s="94">
        <f t="shared" si="26"/>
        <v>1</v>
      </c>
      <c r="BJ146" s="95" t="str">
        <f t="shared" si="27"/>
        <v>#VALUE!</v>
      </c>
      <c r="BK146" s="96" t="str">
        <f t="shared" si="28"/>
        <v>#VALUE!</v>
      </c>
      <c r="BM146" s="97">
        <f t="shared" si="29"/>
        <v>1</v>
      </c>
    </row>
    <row r="147" ht="12.75" customHeight="1">
      <c r="A147" s="65"/>
      <c r="B147" s="66" t="s">
        <v>317</v>
      </c>
      <c r="C147" s="67">
        <v>14667.89</v>
      </c>
      <c r="D147" s="68">
        <v>11.0</v>
      </c>
      <c r="E147" s="67">
        <v>14662.51</v>
      </c>
      <c r="F147" s="68" t="s">
        <v>56</v>
      </c>
      <c r="G147" s="69">
        <v>41818.0</v>
      </c>
      <c r="H147" s="71" t="s">
        <v>57</v>
      </c>
      <c r="I147" s="69">
        <v>41912.0</v>
      </c>
      <c r="J147" s="71">
        <f t="shared" si="1"/>
        <v>3.133333333</v>
      </c>
      <c r="K147" s="72" t="s">
        <v>318</v>
      </c>
      <c r="L147" s="72">
        <v>32500.0</v>
      </c>
      <c r="M147" s="73">
        <v>316.84</v>
      </c>
      <c r="N147" s="73">
        <v>7847.13</v>
      </c>
      <c r="O147" s="73">
        <v>3035.0</v>
      </c>
      <c r="P147" s="73">
        <f t="shared" si="43"/>
        <v>0</v>
      </c>
      <c r="Q147" s="73">
        <f t="shared" si="35"/>
        <v>0</v>
      </c>
      <c r="R147" s="74">
        <f t="shared" si="4"/>
        <v>0</v>
      </c>
      <c r="S147" s="74">
        <f t="shared" si="5"/>
        <v>1</v>
      </c>
      <c r="T147" s="75"/>
      <c r="V147" s="76">
        <v>9.0</v>
      </c>
      <c r="W147" s="77"/>
      <c r="X147" s="77">
        <v>0.63</v>
      </c>
      <c r="Y147" s="77"/>
      <c r="Z147" s="77">
        <f>6.93+16.29+7.62+9.76+8.48</f>
        <v>49.08</v>
      </c>
      <c r="AA147" s="77">
        <f>267+0.13</f>
        <v>267.13</v>
      </c>
      <c r="AB147" s="78">
        <f t="shared" si="38"/>
        <v>325.84</v>
      </c>
      <c r="AC147" s="77">
        <v>12480.42</v>
      </c>
      <c r="AD147" s="79">
        <v>0.065</v>
      </c>
      <c r="AE147" s="80">
        <f t="shared" si="44"/>
        <v>400.0572986</v>
      </c>
      <c r="AF147" s="81">
        <v>2182.09</v>
      </c>
      <c r="AG147" s="79">
        <v>0.075</v>
      </c>
      <c r="AH147" s="80">
        <f t="shared" si="45"/>
        <v>80.70743836</v>
      </c>
      <c r="AI147" s="82">
        <f t="shared" si="46"/>
        <v>14662.51</v>
      </c>
      <c r="AJ147" s="82">
        <f t="shared" si="7"/>
        <v>480.764737</v>
      </c>
      <c r="AK147" s="83">
        <f t="shared" si="41"/>
        <v>267.13</v>
      </c>
      <c r="AL147" s="84">
        <f t="shared" si="42"/>
        <v>316.84</v>
      </c>
      <c r="AP147" s="85">
        <f t="shared" si="9"/>
        <v>1</v>
      </c>
      <c r="AQ147" s="20">
        <f t="shared" si="10"/>
        <v>1</v>
      </c>
      <c r="AR147" s="20">
        <f t="shared" si="11"/>
        <v>1</v>
      </c>
      <c r="AS147" s="86">
        <f t="shared" si="12"/>
        <v>10882.13</v>
      </c>
      <c r="AT147" s="87">
        <f t="shared" si="13"/>
        <v>14662.51</v>
      </c>
      <c r="AU147" s="88">
        <f t="shared" si="14"/>
        <v>3.133333333</v>
      </c>
      <c r="AV147" s="89" t="str">
        <f t="shared" si="15"/>
        <v>#VALUE!</v>
      </c>
      <c r="AW147" s="90" t="str">
        <f t="shared" si="16"/>
        <v>#VALUE!</v>
      </c>
      <c r="AY147" s="85">
        <f t="shared" si="17"/>
        <v>0</v>
      </c>
      <c r="AZ147" s="20">
        <f t="shared" si="18"/>
        <v>1</v>
      </c>
      <c r="BA147" s="20">
        <f t="shared" si="19"/>
        <v>0</v>
      </c>
      <c r="BB147" s="91">
        <f t="shared" si="20"/>
        <v>0</v>
      </c>
      <c r="BC147" s="87">
        <f t="shared" si="21"/>
        <v>0</v>
      </c>
      <c r="BD147" s="92">
        <f t="shared" si="22"/>
        <v>0</v>
      </c>
      <c r="BE147" s="89" t="str">
        <f t="shared" si="23"/>
        <v>#VALUE!</v>
      </c>
      <c r="BF147" s="90">
        <f t="shared" si="24"/>
        <v>0</v>
      </c>
      <c r="BH147" s="93">
        <f t="shared" si="25"/>
        <v>14662.51</v>
      </c>
      <c r="BI147" s="94">
        <f t="shared" si="26"/>
        <v>1</v>
      </c>
      <c r="BJ147" s="95" t="str">
        <f t="shared" si="27"/>
        <v>#VALUE!</v>
      </c>
      <c r="BK147" s="96" t="str">
        <f t="shared" si="28"/>
        <v>#VALUE!</v>
      </c>
      <c r="BM147" s="97">
        <f t="shared" si="29"/>
        <v>1</v>
      </c>
    </row>
    <row r="148" ht="12.75" customHeight="1">
      <c r="A148" s="65"/>
      <c r="B148" s="66" t="s">
        <v>319</v>
      </c>
      <c r="C148" s="67">
        <v>16785.94</v>
      </c>
      <c r="D148" s="68">
        <v>13.0</v>
      </c>
      <c r="E148" s="67">
        <v>14511.61</v>
      </c>
      <c r="F148" s="68" t="s">
        <v>56</v>
      </c>
      <c r="G148" s="69">
        <v>41818.0</v>
      </c>
      <c r="H148" s="71" t="s">
        <v>57</v>
      </c>
      <c r="I148" s="69">
        <v>42428.0</v>
      </c>
      <c r="J148" s="71">
        <f t="shared" si="1"/>
        <v>20.33333333</v>
      </c>
      <c r="K148" s="72" t="s">
        <v>320</v>
      </c>
      <c r="L148" s="72">
        <v>36500.0</v>
      </c>
      <c r="M148" s="73">
        <v>676.04</v>
      </c>
      <c r="N148" s="73">
        <v>6347.64</v>
      </c>
      <c r="O148" s="73">
        <v>4518.31</v>
      </c>
      <c r="P148" s="73">
        <f t="shared" si="43"/>
        <v>0</v>
      </c>
      <c r="Q148" s="73">
        <f t="shared" si="35"/>
        <v>0</v>
      </c>
      <c r="R148" s="74">
        <f t="shared" si="4"/>
        <v>0</v>
      </c>
      <c r="S148" s="74">
        <f t="shared" si="5"/>
        <v>1</v>
      </c>
      <c r="T148" s="75"/>
      <c r="V148" s="76">
        <v>212.4</v>
      </c>
      <c r="W148" s="77"/>
      <c r="X148" s="77">
        <v>14.87</v>
      </c>
      <c r="Y148" s="77"/>
      <c r="Z148" s="77">
        <f>81.36+327.6+109.08</f>
        <v>518.04</v>
      </c>
      <c r="AA148" s="77">
        <v>894.55</v>
      </c>
      <c r="AB148" s="78">
        <f t="shared" si="38"/>
        <v>1639.86</v>
      </c>
      <c r="AC148" s="77"/>
      <c r="AD148" s="79">
        <v>0.02</v>
      </c>
      <c r="AE148" s="80">
        <f t="shared" ref="AE148:AE152" si="47">((E148*AD148)/365)*180</f>
        <v>143.1282082</v>
      </c>
      <c r="AF148" s="81"/>
      <c r="AG148" s="79"/>
      <c r="AH148" s="80">
        <f t="shared" ref="AH148:AH152" si="48">((E148*AG148)/365)*180</f>
        <v>0</v>
      </c>
      <c r="AI148" s="82"/>
      <c r="AJ148" s="82">
        <f t="shared" si="7"/>
        <v>143.1282082</v>
      </c>
      <c r="AK148" s="83">
        <f t="shared" si="41"/>
        <v>143.1282082</v>
      </c>
      <c r="AL148" s="84">
        <f t="shared" si="42"/>
        <v>676.0382082</v>
      </c>
      <c r="AP148" s="85">
        <f t="shared" si="9"/>
        <v>1</v>
      </c>
      <c r="AQ148" s="20">
        <f t="shared" si="10"/>
        <v>1</v>
      </c>
      <c r="AR148" s="20">
        <f t="shared" si="11"/>
        <v>1</v>
      </c>
      <c r="AS148" s="86">
        <f t="shared" si="12"/>
        <v>10865.95</v>
      </c>
      <c r="AT148" s="87">
        <f t="shared" si="13"/>
        <v>14511.61</v>
      </c>
      <c r="AU148" s="88">
        <f t="shared" si="14"/>
        <v>20.33333333</v>
      </c>
      <c r="AV148" s="89" t="str">
        <f t="shared" si="15"/>
        <v>#VALUE!</v>
      </c>
      <c r="AW148" s="90" t="str">
        <f t="shared" si="16"/>
        <v>#VALUE!</v>
      </c>
      <c r="AY148" s="85">
        <f t="shared" si="17"/>
        <v>0</v>
      </c>
      <c r="AZ148" s="20">
        <f t="shared" si="18"/>
        <v>1</v>
      </c>
      <c r="BA148" s="20">
        <f t="shared" si="19"/>
        <v>0</v>
      </c>
      <c r="BB148" s="91">
        <f t="shared" si="20"/>
        <v>0</v>
      </c>
      <c r="BC148" s="87">
        <f t="shared" si="21"/>
        <v>0</v>
      </c>
      <c r="BD148" s="92">
        <f t="shared" si="22"/>
        <v>0</v>
      </c>
      <c r="BE148" s="89" t="str">
        <f t="shared" si="23"/>
        <v>#VALUE!</v>
      </c>
      <c r="BF148" s="90">
        <f t="shared" si="24"/>
        <v>0</v>
      </c>
      <c r="BH148" s="93">
        <f t="shared" si="25"/>
        <v>14511.61</v>
      </c>
      <c r="BI148" s="94">
        <f t="shared" si="26"/>
        <v>1</v>
      </c>
      <c r="BJ148" s="95" t="str">
        <f t="shared" si="27"/>
        <v>#VALUE!</v>
      </c>
      <c r="BK148" s="96" t="str">
        <f t="shared" si="28"/>
        <v>#VALUE!</v>
      </c>
      <c r="BM148" s="97">
        <f t="shared" si="29"/>
        <v>1</v>
      </c>
    </row>
    <row r="149" ht="12.75" customHeight="1">
      <c r="A149" s="65"/>
      <c r="B149" s="66" t="s">
        <v>321</v>
      </c>
      <c r="C149" s="67">
        <v>15288.41</v>
      </c>
      <c r="D149" s="68">
        <v>12.0</v>
      </c>
      <c r="E149" s="67">
        <v>13723.06</v>
      </c>
      <c r="F149" s="68" t="s">
        <v>56</v>
      </c>
      <c r="G149" s="69">
        <v>41848.0</v>
      </c>
      <c r="H149" s="71" t="s">
        <v>57</v>
      </c>
      <c r="I149" s="69">
        <v>42001.0</v>
      </c>
      <c r="J149" s="71">
        <f t="shared" si="1"/>
        <v>5.1</v>
      </c>
      <c r="K149" s="72" t="s">
        <v>181</v>
      </c>
      <c r="L149" s="72">
        <v>35150.0</v>
      </c>
      <c r="M149" s="73">
        <v>629.68</v>
      </c>
      <c r="N149" s="73">
        <v>3971.58</v>
      </c>
      <c r="O149" s="73">
        <v>4655.58</v>
      </c>
      <c r="P149" s="73">
        <f t="shared" si="43"/>
        <v>0</v>
      </c>
      <c r="Q149" s="73">
        <f t="shared" si="35"/>
        <v>0</v>
      </c>
      <c r="R149" s="74">
        <f t="shared" si="4"/>
        <v>0</v>
      </c>
      <c r="S149" s="74">
        <f t="shared" si="5"/>
        <v>1</v>
      </c>
      <c r="T149" s="75"/>
      <c r="V149" s="76">
        <v>59.5</v>
      </c>
      <c r="W149" s="77"/>
      <c r="X149" s="77">
        <v>4.17</v>
      </c>
      <c r="Y149" s="77"/>
      <c r="Z149" s="77">
        <f>30.1+99.12+39.48</f>
        <v>168.7</v>
      </c>
      <c r="AA149" s="77">
        <v>1152.17</v>
      </c>
      <c r="AB149" s="78">
        <f t="shared" si="38"/>
        <v>1384.54</v>
      </c>
      <c r="AC149" s="77"/>
      <c r="AD149" s="79">
        <v>0.0675</v>
      </c>
      <c r="AE149" s="80">
        <f t="shared" si="47"/>
        <v>456.8087096</v>
      </c>
      <c r="AF149" s="81"/>
      <c r="AG149" s="79"/>
      <c r="AH149" s="80">
        <f t="shared" si="48"/>
        <v>0</v>
      </c>
      <c r="AI149" s="82"/>
      <c r="AJ149" s="82">
        <f t="shared" si="7"/>
        <v>456.8087096</v>
      </c>
      <c r="AK149" s="83">
        <f t="shared" si="41"/>
        <v>456.8087096</v>
      </c>
      <c r="AL149" s="84">
        <f t="shared" si="42"/>
        <v>629.6787096</v>
      </c>
      <c r="AP149" s="85">
        <f t="shared" si="9"/>
        <v>1</v>
      </c>
      <c r="AQ149" s="20">
        <f t="shared" si="10"/>
        <v>1</v>
      </c>
      <c r="AR149" s="20">
        <f t="shared" si="11"/>
        <v>1</v>
      </c>
      <c r="AS149" s="86">
        <f t="shared" si="12"/>
        <v>8627.16</v>
      </c>
      <c r="AT149" s="87">
        <f t="shared" si="13"/>
        <v>13723.06</v>
      </c>
      <c r="AU149" s="88">
        <f t="shared" si="14"/>
        <v>5.1</v>
      </c>
      <c r="AV149" s="89" t="str">
        <f t="shared" si="15"/>
        <v>#VALUE!</v>
      </c>
      <c r="AW149" s="90" t="str">
        <f t="shared" si="16"/>
        <v>#VALUE!</v>
      </c>
      <c r="AY149" s="85">
        <f t="shared" si="17"/>
        <v>0</v>
      </c>
      <c r="AZ149" s="20">
        <f t="shared" si="18"/>
        <v>1</v>
      </c>
      <c r="BA149" s="20">
        <f t="shared" si="19"/>
        <v>0</v>
      </c>
      <c r="BB149" s="91">
        <f t="shared" si="20"/>
        <v>0</v>
      </c>
      <c r="BC149" s="87">
        <f t="shared" si="21"/>
        <v>0</v>
      </c>
      <c r="BD149" s="92">
        <f t="shared" si="22"/>
        <v>0</v>
      </c>
      <c r="BE149" s="89" t="str">
        <f t="shared" si="23"/>
        <v>#VALUE!</v>
      </c>
      <c r="BF149" s="90">
        <f t="shared" si="24"/>
        <v>0</v>
      </c>
      <c r="BH149" s="93">
        <f t="shared" si="25"/>
        <v>13723.06</v>
      </c>
      <c r="BI149" s="94">
        <f t="shared" si="26"/>
        <v>1</v>
      </c>
      <c r="BJ149" s="95" t="str">
        <f t="shared" si="27"/>
        <v>#VALUE!</v>
      </c>
      <c r="BK149" s="96" t="str">
        <f t="shared" si="28"/>
        <v>#VALUE!</v>
      </c>
      <c r="BM149" s="97">
        <f t="shared" si="29"/>
        <v>1</v>
      </c>
    </row>
    <row r="150" ht="12.75" customHeight="1">
      <c r="A150" s="65"/>
      <c r="B150" s="66" t="s">
        <v>322</v>
      </c>
      <c r="C150" s="67">
        <v>25000.0</v>
      </c>
      <c r="D150" s="68">
        <v>13.0</v>
      </c>
      <c r="E150" s="67">
        <v>24331.76</v>
      </c>
      <c r="F150" s="68" t="s">
        <v>56</v>
      </c>
      <c r="G150" s="69">
        <v>41848.0</v>
      </c>
      <c r="H150" s="71" t="s">
        <v>57</v>
      </c>
      <c r="I150" s="69">
        <v>42001.0</v>
      </c>
      <c r="J150" s="71">
        <f t="shared" si="1"/>
        <v>5.1</v>
      </c>
      <c r="K150" s="72" t="s">
        <v>323</v>
      </c>
      <c r="L150" s="72">
        <v>39425.0</v>
      </c>
      <c r="M150" s="73">
        <v>969.39</v>
      </c>
      <c r="N150" s="73">
        <v>4249.47</v>
      </c>
      <c r="O150" s="73">
        <v>1290.0</v>
      </c>
      <c r="P150" s="73">
        <f t="shared" si="43"/>
        <v>0</v>
      </c>
      <c r="Q150" s="73">
        <f t="shared" si="35"/>
        <v>0</v>
      </c>
      <c r="R150" s="74">
        <f t="shared" si="4"/>
        <v>0</v>
      </c>
      <c r="S150" s="74">
        <f t="shared" si="5"/>
        <v>1</v>
      </c>
      <c r="T150" s="75"/>
      <c r="V150" s="76">
        <v>229.5</v>
      </c>
      <c r="W150" s="77"/>
      <c r="X150" s="77">
        <v>16.07</v>
      </c>
      <c r="Y150" s="77"/>
      <c r="Z150" s="77">
        <f>179.82+312.12+221.4</f>
        <v>713.34</v>
      </c>
      <c r="AA150" s="77">
        <v>2191.86</v>
      </c>
      <c r="AB150" s="78">
        <f t="shared" si="38"/>
        <v>3150.77</v>
      </c>
      <c r="AC150" s="77"/>
      <c r="AD150" s="79">
        <v>0.02</v>
      </c>
      <c r="AE150" s="80">
        <f t="shared" si="47"/>
        <v>239.9844822</v>
      </c>
      <c r="AF150" s="81"/>
      <c r="AG150" s="79"/>
      <c r="AH150" s="80">
        <f t="shared" si="48"/>
        <v>0</v>
      </c>
      <c r="AI150" s="82"/>
      <c r="AJ150" s="82">
        <f t="shared" si="7"/>
        <v>239.9844822</v>
      </c>
      <c r="AK150" s="83">
        <f t="shared" si="41"/>
        <v>239.9844822</v>
      </c>
      <c r="AL150" s="84">
        <f t="shared" si="42"/>
        <v>969.3944822</v>
      </c>
      <c r="AP150" s="85">
        <f t="shared" si="9"/>
        <v>1</v>
      </c>
      <c r="AQ150" s="20">
        <f t="shared" si="10"/>
        <v>1</v>
      </c>
      <c r="AR150" s="20">
        <f t="shared" si="11"/>
        <v>1</v>
      </c>
      <c r="AS150" s="86">
        <f t="shared" si="12"/>
        <v>5539.47</v>
      </c>
      <c r="AT150" s="87">
        <f t="shared" si="13"/>
        <v>24331.76</v>
      </c>
      <c r="AU150" s="88">
        <f t="shared" si="14"/>
        <v>5.1</v>
      </c>
      <c r="AV150" s="89" t="str">
        <f t="shared" si="15"/>
        <v>#VALUE!</v>
      </c>
      <c r="AW150" s="90" t="str">
        <f t="shared" si="16"/>
        <v>#VALUE!</v>
      </c>
      <c r="AY150" s="85">
        <f t="shared" si="17"/>
        <v>0</v>
      </c>
      <c r="AZ150" s="20">
        <f t="shared" si="18"/>
        <v>1</v>
      </c>
      <c r="BA150" s="20">
        <f t="shared" si="19"/>
        <v>0</v>
      </c>
      <c r="BB150" s="91">
        <f t="shared" si="20"/>
        <v>0</v>
      </c>
      <c r="BC150" s="87">
        <f t="shared" si="21"/>
        <v>0</v>
      </c>
      <c r="BD150" s="92">
        <f t="shared" si="22"/>
        <v>0</v>
      </c>
      <c r="BE150" s="89" t="str">
        <f t="shared" si="23"/>
        <v>#VALUE!</v>
      </c>
      <c r="BF150" s="90">
        <f t="shared" si="24"/>
        <v>0</v>
      </c>
      <c r="BH150" s="93">
        <f t="shared" si="25"/>
        <v>24331.76</v>
      </c>
      <c r="BI150" s="94">
        <f t="shared" si="26"/>
        <v>1</v>
      </c>
      <c r="BJ150" s="95" t="str">
        <f t="shared" si="27"/>
        <v>#VALUE!</v>
      </c>
      <c r="BK150" s="96" t="str">
        <f t="shared" si="28"/>
        <v>#VALUE!</v>
      </c>
      <c r="BM150" s="97">
        <f t="shared" si="29"/>
        <v>1</v>
      </c>
    </row>
    <row r="151" ht="12.75" customHeight="1">
      <c r="A151" s="65"/>
      <c r="B151" s="66" t="s">
        <v>324</v>
      </c>
      <c r="C151" s="67">
        <v>17964.29</v>
      </c>
      <c r="D151" s="68">
        <v>13.0</v>
      </c>
      <c r="E151" s="67">
        <v>15110.6</v>
      </c>
      <c r="F151" s="68" t="s">
        <v>56</v>
      </c>
      <c r="G151" s="69">
        <v>41879.0</v>
      </c>
      <c r="H151" s="71" t="s">
        <v>57</v>
      </c>
      <c r="I151" s="69">
        <v>42001.0</v>
      </c>
      <c r="J151" s="71">
        <f t="shared" si="1"/>
        <v>4.066666667</v>
      </c>
      <c r="K151" s="72" t="s">
        <v>325</v>
      </c>
      <c r="L151" s="72">
        <v>26500.0</v>
      </c>
      <c r="M151" s="73">
        <v>289.2</v>
      </c>
      <c r="N151" s="73">
        <v>382.0</v>
      </c>
      <c r="O151" s="73">
        <v>240.0</v>
      </c>
      <c r="P151" s="73">
        <f t="shared" si="43"/>
        <v>0</v>
      </c>
      <c r="Q151" s="73">
        <f t="shared" si="35"/>
        <v>0</v>
      </c>
      <c r="R151" s="74">
        <f t="shared" si="4"/>
        <v>0</v>
      </c>
      <c r="S151" s="74">
        <f t="shared" si="5"/>
        <v>1</v>
      </c>
      <c r="T151" s="75"/>
      <c r="V151" s="76">
        <v>12.0</v>
      </c>
      <c r="W151" s="77"/>
      <c r="X151" s="77">
        <v>0.84</v>
      </c>
      <c r="Y151" s="77"/>
      <c r="Z151" s="77">
        <f>28.68+74.64+36</f>
        <v>139.32</v>
      </c>
      <c r="AA151" s="77">
        <v>312.15</v>
      </c>
      <c r="AB151" s="78">
        <f t="shared" si="38"/>
        <v>464.31</v>
      </c>
      <c r="AC151" s="77"/>
      <c r="AD151" s="79">
        <v>0.02</v>
      </c>
      <c r="AE151" s="80">
        <f t="shared" si="47"/>
        <v>149.0360548</v>
      </c>
      <c r="AF151" s="81"/>
      <c r="AG151" s="79"/>
      <c r="AH151" s="80">
        <f t="shared" si="48"/>
        <v>0</v>
      </c>
      <c r="AI151" s="82"/>
      <c r="AJ151" s="82">
        <f t="shared" si="7"/>
        <v>149.0360548</v>
      </c>
      <c r="AK151" s="83">
        <f t="shared" si="41"/>
        <v>149.0360548</v>
      </c>
      <c r="AL151" s="84">
        <f t="shared" si="42"/>
        <v>289.1960548</v>
      </c>
      <c r="AP151" s="85">
        <f t="shared" si="9"/>
        <v>1</v>
      </c>
      <c r="AQ151" s="20">
        <f t="shared" si="10"/>
        <v>1</v>
      </c>
      <c r="AR151" s="20">
        <f t="shared" si="11"/>
        <v>1</v>
      </c>
      <c r="AS151" s="86">
        <f t="shared" si="12"/>
        <v>622</v>
      </c>
      <c r="AT151" s="87">
        <f t="shared" si="13"/>
        <v>15110.6</v>
      </c>
      <c r="AU151" s="88">
        <f t="shared" si="14"/>
        <v>4.066666667</v>
      </c>
      <c r="AV151" s="89" t="str">
        <f t="shared" si="15"/>
        <v>#VALUE!</v>
      </c>
      <c r="AW151" s="90" t="str">
        <f t="shared" si="16"/>
        <v>#VALUE!</v>
      </c>
      <c r="AY151" s="85">
        <f t="shared" si="17"/>
        <v>0</v>
      </c>
      <c r="AZ151" s="20">
        <f t="shared" si="18"/>
        <v>1</v>
      </c>
      <c r="BA151" s="20">
        <f t="shared" si="19"/>
        <v>0</v>
      </c>
      <c r="BB151" s="91">
        <f t="shared" si="20"/>
        <v>0</v>
      </c>
      <c r="BC151" s="87">
        <f t="shared" si="21"/>
        <v>0</v>
      </c>
      <c r="BD151" s="92">
        <f t="shared" si="22"/>
        <v>0</v>
      </c>
      <c r="BE151" s="89" t="str">
        <f t="shared" si="23"/>
        <v>#VALUE!</v>
      </c>
      <c r="BF151" s="90">
        <f t="shared" si="24"/>
        <v>0</v>
      </c>
      <c r="BH151" s="93">
        <f t="shared" si="25"/>
        <v>15110.6</v>
      </c>
      <c r="BI151" s="94">
        <f t="shared" si="26"/>
        <v>1</v>
      </c>
      <c r="BJ151" s="95" t="str">
        <f t="shared" si="27"/>
        <v>#VALUE!</v>
      </c>
      <c r="BK151" s="96" t="str">
        <f t="shared" si="28"/>
        <v>#VALUE!</v>
      </c>
      <c r="BM151" s="97">
        <f t="shared" si="29"/>
        <v>1</v>
      </c>
    </row>
    <row r="152" ht="12.75" customHeight="1">
      <c r="A152" s="65"/>
      <c r="B152" s="66" t="s">
        <v>326</v>
      </c>
      <c r="C152" s="67">
        <v>22398.0</v>
      </c>
      <c r="D152" s="68">
        <v>13.0</v>
      </c>
      <c r="E152" s="67">
        <v>19569.65</v>
      </c>
      <c r="F152" s="68" t="s">
        <v>56</v>
      </c>
      <c r="G152" s="69">
        <v>41910.0</v>
      </c>
      <c r="H152" s="71" t="s">
        <v>57</v>
      </c>
      <c r="I152" s="69">
        <v>42002.0</v>
      </c>
      <c r="J152" s="71">
        <f t="shared" si="1"/>
        <v>3.066666667</v>
      </c>
      <c r="K152" s="72" t="s">
        <v>327</v>
      </c>
      <c r="L152" s="72">
        <v>35500.0</v>
      </c>
      <c r="M152" s="73">
        <v>381.97</v>
      </c>
      <c r="N152" s="73">
        <v>3816.0</v>
      </c>
      <c r="O152" s="73">
        <v>3488.02</v>
      </c>
      <c r="P152" s="73">
        <f t="shared" si="43"/>
        <v>0</v>
      </c>
      <c r="Q152" s="73">
        <f t="shared" si="35"/>
        <v>0</v>
      </c>
      <c r="R152" s="74">
        <f t="shared" si="4"/>
        <v>0</v>
      </c>
      <c r="S152" s="74">
        <f t="shared" si="5"/>
        <v>1</v>
      </c>
      <c r="T152" s="75"/>
      <c r="V152" s="76">
        <v>76.5</v>
      </c>
      <c r="W152" s="77"/>
      <c r="X152" s="77">
        <v>5.36</v>
      </c>
      <c r="Y152" s="77"/>
      <c r="Z152" s="77">
        <f>53.64+88.92+65.16</f>
        <v>207.72</v>
      </c>
      <c r="AA152" s="77">
        <v>514.17</v>
      </c>
      <c r="AB152" s="78">
        <f t="shared" si="38"/>
        <v>803.75</v>
      </c>
      <c r="AC152" s="77"/>
      <c r="AD152" s="79">
        <v>0.0175</v>
      </c>
      <c r="AE152" s="80">
        <f t="shared" si="47"/>
        <v>168.8887603</v>
      </c>
      <c r="AF152" s="81"/>
      <c r="AG152" s="79"/>
      <c r="AH152" s="80">
        <f t="shared" si="48"/>
        <v>0</v>
      </c>
      <c r="AI152" s="82"/>
      <c r="AJ152" s="82">
        <f t="shared" si="7"/>
        <v>168.8887603</v>
      </c>
      <c r="AK152" s="83">
        <f t="shared" si="41"/>
        <v>168.8887603</v>
      </c>
      <c r="AL152" s="84">
        <f t="shared" si="42"/>
        <v>381.9687603</v>
      </c>
      <c r="AP152" s="85">
        <f t="shared" si="9"/>
        <v>1</v>
      </c>
      <c r="AQ152" s="20">
        <f t="shared" si="10"/>
        <v>1</v>
      </c>
      <c r="AR152" s="20">
        <f t="shared" si="11"/>
        <v>1</v>
      </c>
      <c r="AS152" s="86">
        <f t="shared" si="12"/>
        <v>7304.02</v>
      </c>
      <c r="AT152" s="87">
        <f t="shared" si="13"/>
        <v>19569.65</v>
      </c>
      <c r="AU152" s="88">
        <f t="shared" si="14"/>
        <v>3.066666667</v>
      </c>
      <c r="AV152" s="89" t="str">
        <f t="shared" si="15"/>
        <v>#VALUE!</v>
      </c>
      <c r="AW152" s="90" t="str">
        <f t="shared" si="16"/>
        <v>#VALUE!</v>
      </c>
      <c r="AY152" s="85">
        <f t="shared" si="17"/>
        <v>0</v>
      </c>
      <c r="AZ152" s="20">
        <f t="shared" si="18"/>
        <v>1</v>
      </c>
      <c r="BA152" s="20">
        <f t="shared" si="19"/>
        <v>0</v>
      </c>
      <c r="BB152" s="91">
        <f t="shared" si="20"/>
        <v>0</v>
      </c>
      <c r="BC152" s="87">
        <f t="shared" si="21"/>
        <v>0</v>
      </c>
      <c r="BD152" s="92">
        <f t="shared" si="22"/>
        <v>0</v>
      </c>
      <c r="BE152" s="89" t="str">
        <f t="shared" si="23"/>
        <v>#VALUE!</v>
      </c>
      <c r="BF152" s="90">
        <f t="shared" si="24"/>
        <v>0</v>
      </c>
      <c r="BH152" s="93">
        <f t="shared" si="25"/>
        <v>19569.65</v>
      </c>
      <c r="BI152" s="94">
        <f t="shared" si="26"/>
        <v>1</v>
      </c>
      <c r="BJ152" s="95" t="str">
        <f t="shared" si="27"/>
        <v>#VALUE!</v>
      </c>
      <c r="BK152" s="96" t="str">
        <f t="shared" si="28"/>
        <v>#VALUE!</v>
      </c>
      <c r="BM152" s="97">
        <f t="shared" si="29"/>
        <v>1</v>
      </c>
    </row>
    <row r="153" ht="12.75" customHeight="1">
      <c r="A153" s="65"/>
      <c r="B153" s="66" t="s">
        <v>328</v>
      </c>
      <c r="C153" s="67">
        <v>33733.0</v>
      </c>
      <c r="D153" s="68">
        <v>13.0</v>
      </c>
      <c r="E153" s="67">
        <v>31965.95</v>
      </c>
      <c r="F153" s="68" t="s">
        <v>56</v>
      </c>
      <c r="G153" s="69">
        <v>41971.0</v>
      </c>
      <c r="H153" s="71" t="s">
        <v>57</v>
      </c>
      <c r="I153" s="69">
        <v>42308.0</v>
      </c>
      <c r="J153" s="71">
        <f t="shared" si="1"/>
        <v>11.23333333</v>
      </c>
      <c r="K153" s="72" t="s">
        <v>181</v>
      </c>
      <c r="L153" s="72">
        <v>53300.0</v>
      </c>
      <c r="M153" s="73">
        <v>1418.8</v>
      </c>
      <c r="N153" s="73">
        <v>4640.17</v>
      </c>
      <c r="O153" s="73">
        <v>1111.29</v>
      </c>
      <c r="P153" s="73">
        <f t="shared" si="43"/>
        <v>0</v>
      </c>
      <c r="Q153" s="73">
        <f t="shared" si="35"/>
        <v>0</v>
      </c>
      <c r="R153" s="74">
        <f t="shared" si="4"/>
        <v>0</v>
      </c>
      <c r="S153" s="74">
        <f t="shared" si="5"/>
        <v>1</v>
      </c>
      <c r="T153" s="75"/>
      <c r="V153" s="76"/>
      <c r="W153" s="77"/>
      <c r="X153" s="77"/>
      <c r="Y153" s="77">
        <v>132.34</v>
      </c>
      <c r="Z153" s="77">
        <f>164.67</f>
        <v>164.67</v>
      </c>
      <c r="AA153" s="77">
        <f>1297.39+5897.07</f>
        <v>7194.46</v>
      </c>
      <c r="AB153" s="78">
        <f t="shared" si="38"/>
        <v>7491.47</v>
      </c>
      <c r="AC153" s="77">
        <v>27016.7</v>
      </c>
      <c r="AD153" s="79">
        <v>0.07</v>
      </c>
      <c r="AE153" s="80">
        <f>((AC153*AD153)/365)*180</f>
        <v>932.6312877</v>
      </c>
      <c r="AF153" s="81">
        <v>4949.25</v>
      </c>
      <c r="AG153" s="79">
        <v>0.0775</v>
      </c>
      <c r="AH153" s="80">
        <f>((AF153*AG153)/365)*180</f>
        <v>189.1562671</v>
      </c>
      <c r="AI153" s="82">
        <f>AC153+AF153</f>
        <v>31965.95</v>
      </c>
      <c r="AJ153" s="82">
        <f t="shared" si="7"/>
        <v>1121.787555</v>
      </c>
      <c r="AK153" s="83">
        <f t="shared" si="41"/>
        <v>1121.787555</v>
      </c>
      <c r="AL153" s="84">
        <f t="shared" si="42"/>
        <v>1418.797555</v>
      </c>
      <c r="AP153" s="85">
        <f t="shared" si="9"/>
        <v>1</v>
      </c>
      <c r="AQ153" s="20">
        <f t="shared" si="10"/>
        <v>1</v>
      </c>
      <c r="AR153" s="20">
        <f t="shared" si="11"/>
        <v>1</v>
      </c>
      <c r="AS153" s="86">
        <f t="shared" si="12"/>
        <v>5751.46</v>
      </c>
      <c r="AT153" s="87">
        <f t="shared" si="13"/>
        <v>31965.95</v>
      </c>
      <c r="AU153" s="88">
        <f t="shared" si="14"/>
        <v>11.23333333</v>
      </c>
      <c r="AV153" s="89" t="str">
        <f t="shared" si="15"/>
        <v>#VALUE!</v>
      </c>
      <c r="AW153" s="90" t="str">
        <f t="shared" si="16"/>
        <v>#VALUE!</v>
      </c>
      <c r="AY153" s="85">
        <f t="shared" si="17"/>
        <v>0</v>
      </c>
      <c r="AZ153" s="20">
        <f t="shared" si="18"/>
        <v>1</v>
      </c>
      <c r="BA153" s="20">
        <f t="shared" si="19"/>
        <v>0</v>
      </c>
      <c r="BB153" s="91">
        <f t="shared" si="20"/>
        <v>0</v>
      </c>
      <c r="BC153" s="87">
        <f t="shared" si="21"/>
        <v>0</v>
      </c>
      <c r="BD153" s="92">
        <f t="shared" si="22"/>
        <v>0</v>
      </c>
      <c r="BE153" s="89" t="str">
        <f t="shared" si="23"/>
        <v>#VALUE!</v>
      </c>
      <c r="BF153" s="90">
        <f t="shared" si="24"/>
        <v>0</v>
      </c>
      <c r="BH153" s="93">
        <f t="shared" si="25"/>
        <v>31965.95</v>
      </c>
      <c r="BI153" s="94">
        <f t="shared" si="26"/>
        <v>1</v>
      </c>
      <c r="BJ153" s="95" t="str">
        <f t="shared" si="27"/>
        <v>#VALUE!</v>
      </c>
      <c r="BK153" s="96" t="str">
        <f t="shared" si="28"/>
        <v>#VALUE!</v>
      </c>
      <c r="BM153" s="97">
        <f t="shared" si="29"/>
        <v>1</v>
      </c>
    </row>
    <row r="154" ht="12.75" customHeight="1">
      <c r="A154" s="65"/>
      <c r="B154" s="66" t="s">
        <v>329</v>
      </c>
      <c r="C154" s="67">
        <v>32055.2</v>
      </c>
      <c r="D154" s="68">
        <v>13.0</v>
      </c>
      <c r="E154" s="67">
        <v>26091.67</v>
      </c>
      <c r="F154" s="68" t="s">
        <v>56</v>
      </c>
      <c r="G154" s="69">
        <v>42152.0</v>
      </c>
      <c r="H154" s="71" t="s">
        <v>57</v>
      </c>
      <c r="I154" s="69">
        <v>42183.0</v>
      </c>
      <c r="J154" s="71">
        <f t="shared" si="1"/>
        <v>1.033333333</v>
      </c>
      <c r="K154" s="72" t="s">
        <v>330</v>
      </c>
      <c r="L154" s="72">
        <v>72500.0</v>
      </c>
      <c r="M154" s="73">
        <v>739.41</v>
      </c>
      <c r="N154" s="73">
        <v>743.6</v>
      </c>
      <c r="O154" s="73">
        <v>4965.05</v>
      </c>
      <c r="P154" s="73">
        <f t="shared" si="43"/>
        <v>0</v>
      </c>
      <c r="Q154" s="73">
        <f t="shared" si="35"/>
        <v>0</v>
      </c>
      <c r="R154" s="74">
        <f t="shared" si="4"/>
        <v>0</v>
      </c>
      <c r="S154" s="74">
        <f t="shared" si="5"/>
        <v>1</v>
      </c>
      <c r="T154" s="75"/>
      <c r="V154" s="76">
        <v>132.16</v>
      </c>
      <c r="W154" s="77"/>
      <c r="X154" s="77">
        <v>9.25</v>
      </c>
      <c r="Y154" s="77"/>
      <c r="Z154" s="77">
        <f>69.6+338.88</f>
        <v>408.48</v>
      </c>
      <c r="AA154" s="77">
        <v>884.61</v>
      </c>
      <c r="AB154" s="78">
        <f t="shared" si="38"/>
        <v>1434.5</v>
      </c>
      <c r="AC154" s="77"/>
      <c r="AD154" s="79">
        <v>0.025</v>
      </c>
      <c r="AE154" s="80">
        <f t="shared" ref="AE154:AE157" si="49">((E154*AD154)/365)*180</f>
        <v>321.6781233</v>
      </c>
      <c r="AF154" s="81"/>
      <c r="AG154" s="79"/>
      <c r="AH154" s="80">
        <f t="shared" ref="AH154:AH157" si="50">((E154*AG154)/365)*180</f>
        <v>0</v>
      </c>
      <c r="AI154" s="82"/>
      <c r="AJ154" s="82">
        <f t="shared" si="7"/>
        <v>321.6781233</v>
      </c>
      <c r="AK154" s="83">
        <f t="shared" si="41"/>
        <v>321.6781233</v>
      </c>
      <c r="AL154" s="84">
        <f t="shared" si="42"/>
        <v>739.4081233</v>
      </c>
      <c r="AP154" s="85">
        <f t="shared" si="9"/>
        <v>1</v>
      </c>
      <c r="AQ154" s="20">
        <f t="shared" si="10"/>
        <v>1</v>
      </c>
      <c r="AR154" s="20">
        <f t="shared" si="11"/>
        <v>1</v>
      </c>
      <c r="AS154" s="86">
        <f t="shared" si="12"/>
        <v>5708.65</v>
      </c>
      <c r="AT154" s="87">
        <f t="shared" si="13"/>
        <v>26091.67</v>
      </c>
      <c r="AU154" s="88">
        <f t="shared" si="14"/>
        <v>1.033333333</v>
      </c>
      <c r="AV154" s="89" t="str">
        <f t="shared" si="15"/>
        <v>#VALUE!</v>
      </c>
      <c r="AW154" s="90" t="str">
        <f t="shared" si="16"/>
        <v>#VALUE!</v>
      </c>
      <c r="AY154" s="85">
        <f t="shared" si="17"/>
        <v>0</v>
      </c>
      <c r="AZ154" s="20">
        <f t="shared" si="18"/>
        <v>1</v>
      </c>
      <c r="BA154" s="20">
        <f t="shared" si="19"/>
        <v>0</v>
      </c>
      <c r="BB154" s="91">
        <f t="shared" si="20"/>
        <v>0</v>
      </c>
      <c r="BC154" s="87">
        <f t="shared" si="21"/>
        <v>0</v>
      </c>
      <c r="BD154" s="92">
        <f t="shared" si="22"/>
        <v>0</v>
      </c>
      <c r="BE154" s="89" t="str">
        <f t="shared" si="23"/>
        <v>#VALUE!</v>
      </c>
      <c r="BF154" s="90">
        <f t="shared" si="24"/>
        <v>0</v>
      </c>
      <c r="BH154" s="93">
        <f t="shared" si="25"/>
        <v>26091.67</v>
      </c>
      <c r="BI154" s="94">
        <f t="shared" si="26"/>
        <v>1</v>
      </c>
      <c r="BJ154" s="95" t="str">
        <f t="shared" si="27"/>
        <v>#VALUE!</v>
      </c>
      <c r="BK154" s="96" t="str">
        <f t="shared" si="28"/>
        <v>#VALUE!</v>
      </c>
      <c r="BM154" s="97">
        <f t="shared" si="29"/>
        <v>1</v>
      </c>
    </row>
    <row r="155" ht="12.75" customHeight="1">
      <c r="A155" s="65"/>
      <c r="B155" s="66" t="s">
        <v>331</v>
      </c>
      <c r="C155" s="67">
        <v>17495.72</v>
      </c>
      <c r="D155" s="68">
        <v>13.0</v>
      </c>
      <c r="E155" s="67">
        <v>14348.15</v>
      </c>
      <c r="F155" s="68" t="s">
        <v>56</v>
      </c>
      <c r="G155" s="69">
        <v>42152.0</v>
      </c>
      <c r="H155" s="71" t="s">
        <v>57</v>
      </c>
      <c r="I155" s="69">
        <v>42183.0</v>
      </c>
      <c r="J155" s="71">
        <f t="shared" si="1"/>
        <v>1.033333333</v>
      </c>
      <c r="K155" s="72" t="s">
        <v>332</v>
      </c>
      <c r="L155" s="72">
        <v>32500.0</v>
      </c>
      <c r="M155" s="73">
        <v>365.33</v>
      </c>
      <c r="N155" s="73">
        <v>3066.52</v>
      </c>
      <c r="O155" s="73">
        <v>2352.64</v>
      </c>
      <c r="P155" s="73">
        <f t="shared" si="43"/>
        <v>0</v>
      </c>
      <c r="Q155" s="73">
        <f t="shared" si="35"/>
        <v>0</v>
      </c>
      <c r="R155" s="74">
        <f t="shared" si="4"/>
        <v>0</v>
      </c>
      <c r="S155" s="74">
        <f t="shared" si="5"/>
        <v>1</v>
      </c>
      <c r="T155" s="75"/>
      <c r="V155" s="76">
        <v>89.25</v>
      </c>
      <c r="W155" s="77"/>
      <c r="X155" s="77">
        <v>6.25</v>
      </c>
      <c r="Y155" s="77"/>
      <c r="Z155" s="77">
        <f>49.35+106.89+61.32</f>
        <v>217.56</v>
      </c>
      <c r="AA155" s="77">
        <v>500.81</v>
      </c>
      <c r="AB155" s="78">
        <f t="shared" si="38"/>
        <v>813.87</v>
      </c>
      <c r="AC155" s="77"/>
      <c r="AD155" s="79">
        <v>0.02</v>
      </c>
      <c r="AE155" s="80">
        <f t="shared" si="49"/>
        <v>141.516</v>
      </c>
      <c r="AF155" s="81"/>
      <c r="AG155" s="79"/>
      <c r="AH155" s="80">
        <f t="shared" si="50"/>
        <v>0</v>
      </c>
      <c r="AI155" s="82"/>
      <c r="AJ155" s="82">
        <f t="shared" si="7"/>
        <v>141.516</v>
      </c>
      <c r="AK155" s="83">
        <f t="shared" si="41"/>
        <v>141.516</v>
      </c>
      <c r="AL155" s="84">
        <f t="shared" si="42"/>
        <v>365.326</v>
      </c>
      <c r="AP155" s="85">
        <f t="shared" si="9"/>
        <v>1</v>
      </c>
      <c r="AQ155" s="20">
        <f t="shared" si="10"/>
        <v>1</v>
      </c>
      <c r="AR155" s="20">
        <f t="shared" si="11"/>
        <v>1</v>
      </c>
      <c r="AS155" s="86">
        <f t="shared" si="12"/>
        <v>5419.16</v>
      </c>
      <c r="AT155" s="87">
        <f t="shared" si="13"/>
        <v>14348.15</v>
      </c>
      <c r="AU155" s="88">
        <f t="shared" si="14"/>
        <v>1.033333333</v>
      </c>
      <c r="AV155" s="89" t="str">
        <f t="shared" si="15"/>
        <v>#VALUE!</v>
      </c>
      <c r="AW155" s="90" t="str">
        <f t="shared" si="16"/>
        <v>#VALUE!</v>
      </c>
      <c r="AY155" s="85">
        <f t="shared" si="17"/>
        <v>0</v>
      </c>
      <c r="AZ155" s="20">
        <f t="shared" si="18"/>
        <v>1</v>
      </c>
      <c r="BA155" s="20">
        <f t="shared" si="19"/>
        <v>0</v>
      </c>
      <c r="BB155" s="91">
        <f t="shared" si="20"/>
        <v>0</v>
      </c>
      <c r="BC155" s="87">
        <f t="shared" si="21"/>
        <v>0</v>
      </c>
      <c r="BD155" s="92">
        <f t="shared" si="22"/>
        <v>0</v>
      </c>
      <c r="BE155" s="89" t="str">
        <f t="shared" si="23"/>
        <v>#VALUE!</v>
      </c>
      <c r="BF155" s="90">
        <f t="shared" si="24"/>
        <v>0</v>
      </c>
      <c r="BH155" s="93">
        <f t="shared" si="25"/>
        <v>14348.15</v>
      </c>
      <c r="BI155" s="94">
        <f t="shared" si="26"/>
        <v>1</v>
      </c>
      <c r="BJ155" s="95" t="str">
        <f t="shared" si="27"/>
        <v>#VALUE!</v>
      </c>
      <c r="BK155" s="96" t="str">
        <f t="shared" si="28"/>
        <v>#VALUE!</v>
      </c>
      <c r="BM155" s="97">
        <f t="shared" si="29"/>
        <v>1</v>
      </c>
    </row>
    <row r="156" ht="12.75" customHeight="1">
      <c r="A156" s="65"/>
      <c r="B156" s="66" t="s">
        <v>333</v>
      </c>
      <c r="C156" s="67">
        <v>34650.0</v>
      </c>
      <c r="D156" s="68">
        <v>13.0</v>
      </c>
      <c r="E156" s="67">
        <v>33312.06</v>
      </c>
      <c r="F156" s="68" t="s">
        <v>56</v>
      </c>
      <c r="G156" s="69">
        <v>42152.0</v>
      </c>
      <c r="H156" s="71" t="s">
        <v>57</v>
      </c>
      <c r="I156" s="69">
        <v>42518.0</v>
      </c>
      <c r="J156" s="71">
        <f t="shared" si="1"/>
        <v>12.2</v>
      </c>
      <c r="K156" s="72" t="s">
        <v>181</v>
      </c>
      <c r="L156" s="72">
        <v>35000.0</v>
      </c>
      <c r="M156" s="73">
        <v>198.23999999999998</v>
      </c>
      <c r="N156" s="73">
        <v>9066.62</v>
      </c>
      <c r="O156" s="73">
        <v>788.66</v>
      </c>
      <c r="P156" s="73">
        <f t="shared" si="43"/>
        <v>0</v>
      </c>
      <c r="Q156" s="73">
        <f t="shared" si="35"/>
        <v>8365.58</v>
      </c>
      <c r="R156" s="74">
        <f t="shared" si="4"/>
        <v>0.2511276697</v>
      </c>
      <c r="S156" s="74">
        <f t="shared" si="5"/>
        <v>0.7488723303</v>
      </c>
      <c r="T156" s="75"/>
      <c r="V156" s="76">
        <v>112.0</v>
      </c>
      <c r="W156" s="77"/>
      <c r="X156" s="77">
        <v>7.84</v>
      </c>
      <c r="Y156" s="77"/>
      <c r="Z156" s="77">
        <f>65.24+56+69.16</f>
        <v>190.4</v>
      </c>
      <c r="AA156" s="77"/>
      <c r="AB156" s="78">
        <f t="shared" si="38"/>
        <v>310.24</v>
      </c>
      <c r="AC156" s="77"/>
      <c r="AD156" s="79">
        <v>0.0</v>
      </c>
      <c r="AE156" s="80">
        <f t="shared" si="49"/>
        <v>0</v>
      </c>
      <c r="AF156" s="81"/>
      <c r="AG156" s="79"/>
      <c r="AH156" s="80">
        <f t="shared" si="50"/>
        <v>0</v>
      </c>
      <c r="AI156" s="82"/>
      <c r="AJ156" s="82">
        <f t="shared" si="7"/>
        <v>0</v>
      </c>
      <c r="AK156" s="83" t="str">
        <f t="shared" si="41"/>
        <v/>
      </c>
      <c r="AL156" s="84">
        <f t="shared" si="42"/>
        <v>198.24</v>
      </c>
      <c r="AP156" s="85">
        <f t="shared" si="9"/>
        <v>1</v>
      </c>
      <c r="AQ156" s="20">
        <f t="shared" si="10"/>
        <v>1</v>
      </c>
      <c r="AR156" s="20">
        <f t="shared" si="11"/>
        <v>1</v>
      </c>
      <c r="AS156" s="86">
        <f t="shared" si="12"/>
        <v>9855.28</v>
      </c>
      <c r="AT156" s="87">
        <f t="shared" si="13"/>
        <v>33312.06</v>
      </c>
      <c r="AU156" s="88">
        <f t="shared" si="14"/>
        <v>12.2</v>
      </c>
      <c r="AV156" s="89" t="str">
        <f t="shared" si="15"/>
        <v>#VALUE!</v>
      </c>
      <c r="AW156" s="90" t="str">
        <f t="shared" si="16"/>
        <v>#VALUE!</v>
      </c>
      <c r="AY156" s="85">
        <f t="shared" si="17"/>
        <v>0</v>
      </c>
      <c r="AZ156" s="20">
        <f t="shared" si="18"/>
        <v>1</v>
      </c>
      <c r="BA156" s="20">
        <f t="shared" si="19"/>
        <v>0</v>
      </c>
      <c r="BB156" s="91">
        <f t="shared" si="20"/>
        <v>0</v>
      </c>
      <c r="BC156" s="87">
        <f t="shared" si="21"/>
        <v>0</v>
      </c>
      <c r="BD156" s="92">
        <f t="shared" si="22"/>
        <v>0</v>
      </c>
      <c r="BE156" s="89" t="str">
        <f t="shared" si="23"/>
        <v>#VALUE!</v>
      </c>
      <c r="BF156" s="90">
        <f t="shared" si="24"/>
        <v>0</v>
      </c>
      <c r="BH156" s="93">
        <f t="shared" si="25"/>
        <v>33312.06</v>
      </c>
      <c r="BI156" s="94">
        <f t="shared" si="26"/>
        <v>1</v>
      </c>
      <c r="BJ156" s="95" t="str">
        <f t="shared" si="27"/>
        <v>#VALUE!</v>
      </c>
      <c r="BK156" s="96" t="str">
        <f t="shared" si="28"/>
        <v>#VALUE!</v>
      </c>
      <c r="BM156" s="97">
        <f t="shared" si="29"/>
        <v>1</v>
      </c>
    </row>
    <row r="157" ht="12.75" customHeight="1">
      <c r="A157" s="65"/>
      <c r="B157" s="66" t="s">
        <v>334</v>
      </c>
      <c r="C157" s="67">
        <v>34580.94</v>
      </c>
      <c r="D157" s="68">
        <v>13.0</v>
      </c>
      <c r="E157" s="67">
        <v>33742.62</v>
      </c>
      <c r="F157" s="68" t="s">
        <v>56</v>
      </c>
      <c r="G157" s="69">
        <v>42213.0</v>
      </c>
      <c r="H157" s="71" t="s">
        <v>57</v>
      </c>
      <c r="I157" s="69">
        <v>42275.0</v>
      </c>
      <c r="J157" s="71">
        <f t="shared" si="1"/>
        <v>2.066666667</v>
      </c>
      <c r="K157" s="72" t="s">
        <v>335</v>
      </c>
      <c r="L157" s="72">
        <v>42000.0</v>
      </c>
      <c r="M157" s="73">
        <v>342.47</v>
      </c>
      <c r="N157" s="73">
        <v>7524.69</v>
      </c>
      <c r="O157" s="73">
        <v>2111.82</v>
      </c>
      <c r="P157" s="73">
        <f t="shared" si="43"/>
        <v>0</v>
      </c>
      <c r="Q157" s="73">
        <f t="shared" si="35"/>
        <v>1721.6</v>
      </c>
      <c r="R157" s="74">
        <f t="shared" si="4"/>
        <v>0.05102152708</v>
      </c>
      <c r="S157" s="74">
        <f t="shared" si="5"/>
        <v>0.9489784729</v>
      </c>
      <c r="T157" s="75"/>
      <c r="V157" s="76">
        <v>184.0</v>
      </c>
      <c r="W157" s="77"/>
      <c r="X157" s="77">
        <v>12.88</v>
      </c>
      <c r="Y157" s="77"/>
      <c r="Z157" s="77">
        <f>106.95+108.79+113.85</f>
        <v>329.59</v>
      </c>
      <c r="AA157" s="77">
        <v>0.0</v>
      </c>
      <c r="AB157" s="78">
        <f t="shared" si="38"/>
        <v>526.47</v>
      </c>
      <c r="AC157" s="77"/>
      <c r="AD157" s="79">
        <v>0.0</v>
      </c>
      <c r="AE157" s="80">
        <f t="shared" si="49"/>
        <v>0</v>
      </c>
      <c r="AF157" s="81"/>
      <c r="AG157" s="79"/>
      <c r="AH157" s="80">
        <f t="shared" si="50"/>
        <v>0</v>
      </c>
      <c r="AI157" s="82"/>
      <c r="AJ157" s="82">
        <f t="shared" si="7"/>
        <v>0</v>
      </c>
      <c r="AK157" s="83">
        <f t="shared" si="41"/>
        <v>0</v>
      </c>
      <c r="AL157" s="84">
        <f t="shared" si="42"/>
        <v>342.47</v>
      </c>
      <c r="AP157" s="85">
        <f t="shared" si="9"/>
        <v>1</v>
      </c>
      <c r="AQ157" s="20">
        <f t="shared" si="10"/>
        <v>1</v>
      </c>
      <c r="AR157" s="20">
        <f t="shared" si="11"/>
        <v>1</v>
      </c>
      <c r="AS157" s="86">
        <f t="shared" si="12"/>
        <v>9636.51</v>
      </c>
      <c r="AT157" s="87">
        <f t="shared" si="13"/>
        <v>33742.62</v>
      </c>
      <c r="AU157" s="88">
        <f t="shared" si="14"/>
        <v>2.066666667</v>
      </c>
      <c r="AV157" s="89" t="str">
        <f t="shared" si="15"/>
        <v>#VALUE!</v>
      </c>
      <c r="AW157" s="90" t="str">
        <f t="shared" si="16"/>
        <v>#VALUE!</v>
      </c>
      <c r="AY157" s="85">
        <f t="shared" si="17"/>
        <v>0</v>
      </c>
      <c r="AZ157" s="20">
        <f t="shared" si="18"/>
        <v>1</v>
      </c>
      <c r="BA157" s="20">
        <f t="shared" si="19"/>
        <v>0</v>
      </c>
      <c r="BB157" s="91">
        <f t="shared" si="20"/>
        <v>0</v>
      </c>
      <c r="BC157" s="87">
        <f t="shared" si="21"/>
        <v>0</v>
      </c>
      <c r="BD157" s="92">
        <f t="shared" si="22"/>
        <v>0</v>
      </c>
      <c r="BE157" s="89" t="str">
        <f t="shared" si="23"/>
        <v>#VALUE!</v>
      </c>
      <c r="BF157" s="90">
        <f t="shared" si="24"/>
        <v>0</v>
      </c>
      <c r="BH157" s="93">
        <f t="shared" si="25"/>
        <v>33742.62</v>
      </c>
      <c r="BI157" s="94">
        <f t="shared" si="26"/>
        <v>1</v>
      </c>
      <c r="BJ157" s="95" t="str">
        <f t="shared" si="27"/>
        <v>#VALUE!</v>
      </c>
      <c r="BK157" s="96" t="str">
        <f t="shared" si="28"/>
        <v>#VALUE!</v>
      </c>
      <c r="BM157" s="97">
        <f t="shared" si="29"/>
        <v>1</v>
      </c>
    </row>
    <row r="158" ht="12.75" customHeight="1">
      <c r="A158" s="65"/>
      <c r="B158" s="66" t="s">
        <v>336</v>
      </c>
      <c r="C158" s="67">
        <v>14717.67</v>
      </c>
      <c r="D158" s="68">
        <v>12.0</v>
      </c>
      <c r="E158" s="67">
        <v>13739.84</v>
      </c>
      <c r="F158" s="68" t="s">
        <v>56</v>
      </c>
      <c r="G158" s="69">
        <v>42213.0</v>
      </c>
      <c r="H158" s="71" t="s">
        <v>57</v>
      </c>
      <c r="I158" s="69">
        <v>42336.0</v>
      </c>
      <c r="J158" s="71">
        <f t="shared" si="1"/>
        <v>4.1</v>
      </c>
      <c r="K158" s="72" t="s">
        <v>181</v>
      </c>
      <c r="L158" s="72">
        <v>32500.0</v>
      </c>
      <c r="M158" s="73">
        <v>686.39</v>
      </c>
      <c r="N158" s="73">
        <v>1884.22</v>
      </c>
      <c r="O158" s="73">
        <v>3994.1</v>
      </c>
      <c r="P158" s="73">
        <f t="shared" si="43"/>
        <v>0</v>
      </c>
      <c r="Q158" s="73">
        <f t="shared" si="35"/>
        <v>0</v>
      </c>
      <c r="R158" s="74">
        <f t="shared" si="4"/>
        <v>0</v>
      </c>
      <c r="S158" s="74">
        <f t="shared" si="5"/>
        <v>1</v>
      </c>
      <c r="T158" s="75"/>
      <c r="V158" s="76">
        <v>59.5</v>
      </c>
      <c r="W158" s="77"/>
      <c r="X158" s="77">
        <v>4.17</v>
      </c>
      <c r="Y158" s="77"/>
      <c r="Z158" s="77">
        <f>44.66+52.08+35+15.4+15.68</f>
        <v>162.82</v>
      </c>
      <c r="AA158" s="77">
        <f>438.88+870.04</f>
        <v>1308.92</v>
      </c>
      <c r="AB158" s="78">
        <f t="shared" si="38"/>
        <v>1535.41</v>
      </c>
      <c r="AC158" s="77">
        <v>9096.59</v>
      </c>
      <c r="AD158" s="79">
        <v>0.0775</v>
      </c>
      <c r="AE158" s="80">
        <f t="shared" ref="AE158:AE165" si="51">((AC158*AD158)/365)*180</f>
        <v>347.6641932</v>
      </c>
      <c r="AF158" s="81">
        <v>4643.25</v>
      </c>
      <c r="AG158" s="79">
        <v>0.075</v>
      </c>
      <c r="AH158" s="80">
        <f t="shared" ref="AH158:AH165" si="52">((AF158*AG158)/365)*180</f>
        <v>171.7366438</v>
      </c>
      <c r="AI158" s="82">
        <f t="shared" ref="AI158:AI165" si="53">AC158+AF158</f>
        <v>13739.84</v>
      </c>
      <c r="AJ158" s="82">
        <f t="shared" si="7"/>
        <v>519.400837</v>
      </c>
      <c r="AK158" s="83">
        <f t="shared" si="41"/>
        <v>519.400837</v>
      </c>
      <c r="AL158" s="84">
        <f t="shared" si="42"/>
        <v>686.390837</v>
      </c>
      <c r="AP158" s="85">
        <f t="shared" si="9"/>
        <v>1</v>
      </c>
      <c r="AQ158" s="20">
        <f t="shared" si="10"/>
        <v>1</v>
      </c>
      <c r="AR158" s="20">
        <f t="shared" si="11"/>
        <v>1</v>
      </c>
      <c r="AS158" s="86">
        <f t="shared" si="12"/>
        <v>5878.32</v>
      </c>
      <c r="AT158" s="87">
        <f t="shared" si="13"/>
        <v>13739.84</v>
      </c>
      <c r="AU158" s="88">
        <f t="shared" si="14"/>
        <v>4.1</v>
      </c>
      <c r="AV158" s="89" t="str">
        <f t="shared" si="15"/>
        <v>#VALUE!</v>
      </c>
      <c r="AW158" s="90" t="str">
        <f t="shared" si="16"/>
        <v>#VALUE!</v>
      </c>
      <c r="AY158" s="85">
        <f t="shared" si="17"/>
        <v>0</v>
      </c>
      <c r="AZ158" s="20">
        <f t="shared" si="18"/>
        <v>1</v>
      </c>
      <c r="BA158" s="20">
        <f t="shared" si="19"/>
        <v>0</v>
      </c>
      <c r="BB158" s="91">
        <f t="shared" si="20"/>
        <v>0</v>
      </c>
      <c r="BC158" s="87">
        <f t="shared" si="21"/>
        <v>0</v>
      </c>
      <c r="BD158" s="92">
        <f t="shared" si="22"/>
        <v>0</v>
      </c>
      <c r="BE158" s="89" t="str">
        <f t="shared" si="23"/>
        <v>#VALUE!</v>
      </c>
      <c r="BF158" s="90">
        <f t="shared" si="24"/>
        <v>0</v>
      </c>
      <c r="BH158" s="93">
        <f t="shared" si="25"/>
        <v>13739.84</v>
      </c>
      <c r="BI158" s="94">
        <f t="shared" si="26"/>
        <v>1</v>
      </c>
      <c r="BJ158" s="95" t="str">
        <f t="shared" si="27"/>
        <v>#VALUE!</v>
      </c>
      <c r="BK158" s="96" t="str">
        <f t="shared" si="28"/>
        <v>#VALUE!</v>
      </c>
      <c r="BM158" s="97">
        <f t="shared" si="29"/>
        <v>1</v>
      </c>
    </row>
    <row r="159" ht="12.75" customHeight="1">
      <c r="A159" s="65"/>
      <c r="B159" s="66" t="s">
        <v>337</v>
      </c>
      <c r="C159" s="67">
        <v>14625.0</v>
      </c>
      <c r="D159" s="68">
        <v>13.0</v>
      </c>
      <c r="E159" s="67">
        <v>13740.59</v>
      </c>
      <c r="F159" s="68" t="s">
        <v>56</v>
      </c>
      <c r="G159" s="69">
        <v>42244.0</v>
      </c>
      <c r="H159" s="71" t="s">
        <v>57</v>
      </c>
      <c r="I159" s="69">
        <v>42518.0</v>
      </c>
      <c r="J159" s="71">
        <f t="shared" si="1"/>
        <v>9.133333333</v>
      </c>
      <c r="K159" s="72" t="s">
        <v>181</v>
      </c>
      <c r="L159" s="72">
        <v>45000.0</v>
      </c>
      <c r="M159" s="73">
        <v>912.73</v>
      </c>
      <c r="N159" s="73">
        <v>4262.66</v>
      </c>
      <c r="O159" s="73">
        <v>3333.5</v>
      </c>
      <c r="P159" s="73">
        <f t="shared" si="43"/>
        <v>0</v>
      </c>
      <c r="Q159" s="73">
        <f t="shared" si="35"/>
        <v>0</v>
      </c>
      <c r="R159" s="74">
        <f t="shared" si="4"/>
        <v>0</v>
      </c>
      <c r="S159" s="74">
        <f t="shared" si="5"/>
        <v>1</v>
      </c>
      <c r="T159" s="75"/>
      <c r="V159" s="76">
        <v>106.25</v>
      </c>
      <c r="W159" s="77">
        <f>4.01+13.43</f>
        <v>17.44</v>
      </c>
      <c r="X159" s="77">
        <f>0.28+8.38</f>
        <v>8.66</v>
      </c>
      <c r="Y159" s="77"/>
      <c r="Z159" s="77">
        <f>72.75+190.25+72.75+44+19.5</f>
        <v>399.25</v>
      </c>
      <c r="AA159" s="77">
        <f>447.76+1551.82</f>
        <v>1999.58</v>
      </c>
      <c r="AB159" s="78">
        <f t="shared" si="38"/>
        <v>2531.18</v>
      </c>
      <c r="AC159" s="77">
        <v>10586.83</v>
      </c>
      <c r="AD159" s="79">
        <v>0.0725</v>
      </c>
      <c r="AE159" s="80">
        <f t="shared" si="51"/>
        <v>378.5154288</v>
      </c>
      <c r="AF159" s="81">
        <v>3153.76</v>
      </c>
      <c r="AG159" s="79">
        <v>0.07</v>
      </c>
      <c r="AH159" s="80">
        <f t="shared" si="52"/>
        <v>108.8695233</v>
      </c>
      <c r="AI159" s="82">
        <f t="shared" si="53"/>
        <v>13740.59</v>
      </c>
      <c r="AJ159" s="82">
        <f t="shared" si="7"/>
        <v>487.3849521</v>
      </c>
      <c r="AK159" s="83">
        <f t="shared" si="41"/>
        <v>487.3849521</v>
      </c>
      <c r="AL159" s="84">
        <f t="shared" si="42"/>
        <v>912.7349521</v>
      </c>
      <c r="AP159" s="85">
        <f t="shared" si="9"/>
        <v>1</v>
      </c>
      <c r="AQ159" s="20">
        <f t="shared" si="10"/>
        <v>1</v>
      </c>
      <c r="AR159" s="20">
        <f t="shared" si="11"/>
        <v>1</v>
      </c>
      <c r="AS159" s="86">
        <f t="shared" si="12"/>
        <v>7596.16</v>
      </c>
      <c r="AT159" s="87">
        <f t="shared" si="13"/>
        <v>13740.59</v>
      </c>
      <c r="AU159" s="88">
        <f t="shared" si="14"/>
        <v>9.133333333</v>
      </c>
      <c r="AV159" s="89" t="str">
        <f t="shared" si="15"/>
        <v>#VALUE!</v>
      </c>
      <c r="AW159" s="90" t="str">
        <f t="shared" si="16"/>
        <v>#VALUE!</v>
      </c>
      <c r="AY159" s="85">
        <f t="shared" si="17"/>
        <v>0</v>
      </c>
      <c r="AZ159" s="20">
        <f t="shared" si="18"/>
        <v>1</v>
      </c>
      <c r="BA159" s="20">
        <f t="shared" si="19"/>
        <v>0</v>
      </c>
      <c r="BB159" s="91">
        <f t="shared" si="20"/>
        <v>0</v>
      </c>
      <c r="BC159" s="87">
        <f t="shared" si="21"/>
        <v>0</v>
      </c>
      <c r="BD159" s="92">
        <f t="shared" si="22"/>
        <v>0</v>
      </c>
      <c r="BE159" s="89" t="str">
        <f t="shared" si="23"/>
        <v>#VALUE!</v>
      </c>
      <c r="BF159" s="90">
        <f t="shared" si="24"/>
        <v>0</v>
      </c>
      <c r="BH159" s="93">
        <f t="shared" si="25"/>
        <v>13740.59</v>
      </c>
      <c r="BI159" s="94">
        <f t="shared" si="26"/>
        <v>1</v>
      </c>
      <c r="BJ159" s="95" t="str">
        <f t="shared" si="27"/>
        <v>#VALUE!</v>
      </c>
      <c r="BK159" s="96" t="str">
        <f t="shared" si="28"/>
        <v>#VALUE!</v>
      </c>
      <c r="BM159" s="97">
        <f t="shared" si="29"/>
        <v>1</v>
      </c>
    </row>
    <row r="160" ht="12.75" customHeight="1">
      <c r="A160" s="65"/>
      <c r="B160" s="66" t="s">
        <v>338</v>
      </c>
      <c r="C160" s="67">
        <v>47644.15</v>
      </c>
      <c r="D160" s="68">
        <v>13.0</v>
      </c>
      <c r="E160" s="67">
        <v>44640.12</v>
      </c>
      <c r="F160" s="68" t="s">
        <v>56</v>
      </c>
      <c r="G160" s="69">
        <v>42336.0</v>
      </c>
      <c r="H160" s="71" t="s">
        <v>57</v>
      </c>
      <c r="I160" s="69">
        <v>42457.0</v>
      </c>
      <c r="J160" s="71">
        <f t="shared" si="1"/>
        <v>4.033333333</v>
      </c>
      <c r="K160" s="72" t="s">
        <v>339</v>
      </c>
      <c r="L160" s="72">
        <v>65000.0</v>
      </c>
      <c r="M160" s="73">
        <v>2715.99</v>
      </c>
      <c r="N160" s="73">
        <v>13092.25</v>
      </c>
      <c r="O160" s="73">
        <v>1144.64</v>
      </c>
      <c r="P160" s="73">
        <f t="shared" si="43"/>
        <v>0</v>
      </c>
      <c r="Q160" s="73">
        <f t="shared" si="35"/>
        <v>0</v>
      </c>
      <c r="R160" s="74">
        <f t="shared" si="4"/>
        <v>0</v>
      </c>
      <c r="S160" s="74">
        <f t="shared" si="5"/>
        <v>1</v>
      </c>
      <c r="T160" s="75"/>
      <c r="V160" s="76"/>
      <c r="W160" s="77">
        <v>28.58</v>
      </c>
      <c r="X160" s="77">
        <v>2.0</v>
      </c>
      <c r="Y160" s="77">
        <v>450.02</v>
      </c>
      <c r="Z160" s="77">
        <f>143.36+385.92</f>
        <v>529.28</v>
      </c>
      <c r="AA160" s="77">
        <v>4073.48</v>
      </c>
      <c r="AB160" s="78">
        <f t="shared" si="38"/>
        <v>5083.36</v>
      </c>
      <c r="AC160" s="77">
        <v>10911.96</v>
      </c>
      <c r="AD160" s="79">
        <v>0.0775</v>
      </c>
      <c r="AE160" s="80">
        <f t="shared" si="51"/>
        <v>417.0461425</v>
      </c>
      <c r="AF160" s="81">
        <v>33728.16</v>
      </c>
      <c r="AG160" s="79">
        <v>0.0775</v>
      </c>
      <c r="AH160" s="80">
        <f t="shared" si="52"/>
        <v>1289.062553</v>
      </c>
      <c r="AI160" s="82">
        <f t="shared" si="53"/>
        <v>44640.12</v>
      </c>
      <c r="AJ160" s="82">
        <f t="shared" si="7"/>
        <v>1706.108696</v>
      </c>
      <c r="AK160" s="83">
        <f t="shared" si="41"/>
        <v>1706.108696</v>
      </c>
      <c r="AL160" s="84">
        <f t="shared" si="42"/>
        <v>2715.988696</v>
      </c>
      <c r="AP160" s="85">
        <f t="shared" si="9"/>
        <v>1</v>
      </c>
      <c r="AQ160" s="20">
        <f t="shared" si="10"/>
        <v>1</v>
      </c>
      <c r="AR160" s="20">
        <f t="shared" si="11"/>
        <v>1</v>
      </c>
      <c r="AS160" s="86">
        <f t="shared" si="12"/>
        <v>14236.89</v>
      </c>
      <c r="AT160" s="87">
        <f t="shared" si="13"/>
        <v>44640.12</v>
      </c>
      <c r="AU160" s="88">
        <f t="shared" si="14"/>
        <v>4.033333333</v>
      </c>
      <c r="AV160" s="89" t="str">
        <f t="shared" si="15"/>
        <v>#VALUE!</v>
      </c>
      <c r="AW160" s="90" t="str">
        <f t="shared" si="16"/>
        <v>#VALUE!</v>
      </c>
      <c r="AY160" s="85">
        <f t="shared" si="17"/>
        <v>0</v>
      </c>
      <c r="AZ160" s="20">
        <f t="shared" si="18"/>
        <v>1</v>
      </c>
      <c r="BA160" s="20">
        <f t="shared" si="19"/>
        <v>0</v>
      </c>
      <c r="BB160" s="91">
        <f t="shared" si="20"/>
        <v>0</v>
      </c>
      <c r="BC160" s="87">
        <f t="shared" si="21"/>
        <v>0</v>
      </c>
      <c r="BD160" s="92">
        <f t="shared" si="22"/>
        <v>0</v>
      </c>
      <c r="BE160" s="89" t="str">
        <f t="shared" si="23"/>
        <v>#VALUE!</v>
      </c>
      <c r="BF160" s="90">
        <f t="shared" si="24"/>
        <v>0</v>
      </c>
      <c r="BH160" s="93">
        <f t="shared" si="25"/>
        <v>44640.12</v>
      </c>
      <c r="BI160" s="94">
        <f t="shared" si="26"/>
        <v>1</v>
      </c>
      <c r="BJ160" s="95" t="str">
        <f t="shared" si="27"/>
        <v>#VALUE!</v>
      </c>
      <c r="BK160" s="96" t="str">
        <f t="shared" si="28"/>
        <v>#VALUE!</v>
      </c>
      <c r="BM160" s="97">
        <f t="shared" si="29"/>
        <v>1</v>
      </c>
    </row>
    <row r="161" ht="12.75" customHeight="1">
      <c r="A161" s="65"/>
      <c r="B161" s="66" t="s">
        <v>340</v>
      </c>
      <c r="C161" s="67">
        <v>19350.0</v>
      </c>
      <c r="D161" s="68">
        <v>13.0</v>
      </c>
      <c r="E161" s="67">
        <v>17488.97</v>
      </c>
      <c r="F161" s="68" t="s">
        <v>56</v>
      </c>
      <c r="G161" s="69">
        <v>42336.0</v>
      </c>
      <c r="H161" s="71" t="s">
        <v>57</v>
      </c>
      <c r="I161" s="69">
        <v>42457.0</v>
      </c>
      <c r="J161" s="71">
        <f t="shared" si="1"/>
        <v>4.033333333</v>
      </c>
      <c r="K161" s="72" t="s">
        <v>341</v>
      </c>
      <c r="L161" s="72">
        <v>33000.0</v>
      </c>
      <c r="M161" s="73">
        <v>892.33</v>
      </c>
      <c r="N161" s="73">
        <v>7590.48</v>
      </c>
      <c r="O161" s="73">
        <v>2610.85</v>
      </c>
      <c r="P161" s="73">
        <f t="shared" si="43"/>
        <v>0</v>
      </c>
      <c r="Q161" s="73">
        <f t="shared" si="35"/>
        <v>0</v>
      </c>
      <c r="R161" s="74">
        <f t="shared" si="4"/>
        <v>0</v>
      </c>
      <c r="S161" s="74">
        <f t="shared" si="5"/>
        <v>1</v>
      </c>
      <c r="T161" s="75"/>
      <c r="V161" s="76">
        <v>76.5</v>
      </c>
      <c r="W161" s="77"/>
      <c r="X161" s="77">
        <v>5.36</v>
      </c>
      <c r="Y161" s="77">
        <v>93.09</v>
      </c>
      <c r="Z161" s="77">
        <f>51.48+70.02+40.14+20.7+27.54</f>
        <v>209.88</v>
      </c>
      <c r="AA161" s="77">
        <f>917.54+1129.92</f>
        <v>2047.46</v>
      </c>
      <c r="AB161" s="78">
        <f t="shared" si="38"/>
        <v>2432.29</v>
      </c>
      <c r="AC161" s="77">
        <v>11410.81</v>
      </c>
      <c r="AD161" s="79">
        <v>0.0625</v>
      </c>
      <c r="AE161" s="80">
        <f t="shared" si="51"/>
        <v>351.7030479</v>
      </c>
      <c r="AF161" s="81">
        <v>6078.16</v>
      </c>
      <c r="AG161" s="79">
        <v>0.0775</v>
      </c>
      <c r="AH161" s="80">
        <f t="shared" si="52"/>
        <v>232.3022795</v>
      </c>
      <c r="AI161" s="82">
        <f t="shared" si="53"/>
        <v>17488.97</v>
      </c>
      <c r="AJ161" s="82">
        <f t="shared" si="7"/>
        <v>584.0053274</v>
      </c>
      <c r="AK161" s="83">
        <f t="shared" si="41"/>
        <v>584.0053274</v>
      </c>
      <c r="AL161" s="84">
        <f t="shared" si="42"/>
        <v>892.3353274</v>
      </c>
      <c r="AP161" s="85">
        <f t="shared" si="9"/>
        <v>1</v>
      </c>
      <c r="AQ161" s="20">
        <f t="shared" si="10"/>
        <v>1</v>
      </c>
      <c r="AR161" s="20">
        <f t="shared" si="11"/>
        <v>1</v>
      </c>
      <c r="AS161" s="86">
        <f t="shared" si="12"/>
        <v>10201.33</v>
      </c>
      <c r="AT161" s="87">
        <f t="shared" si="13"/>
        <v>17488.97</v>
      </c>
      <c r="AU161" s="88">
        <f t="shared" si="14"/>
        <v>4.033333333</v>
      </c>
      <c r="AV161" s="89" t="str">
        <f t="shared" si="15"/>
        <v>#VALUE!</v>
      </c>
      <c r="AW161" s="90" t="str">
        <f t="shared" si="16"/>
        <v>#VALUE!</v>
      </c>
      <c r="AY161" s="85">
        <f t="shared" si="17"/>
        <v>0</v>
      </c>
      <c r="AZ161" s="20">
        <f t="shared" si="18"/>
        <v>1</v>
      </c>
      <c r="BA161" s="20">
        <f t="shared" si="19"/>
        <v>0</v>
      </c>
      <c r="BB161" s="91">
        <f t="shared" si="20"/>
        <v>0</v>
      </c>
      <c r="BC161" s="87">
        <f t="shared" si="21"/>
        <v>0</v>
      </c>
      <c r="BD161" s="92">
        <f t="shared" si="22"/>
        <v>0</v>
      </c>
      <c r="BE161" s="89" t="str">
        <f t="shared" si="23"/>
        <v>#VALUE!</v>
      </c>
      <c r="BF161" s="90">
        <f t="shared" si="24"/>
        <v>0</v>
      </c>
      <c r="BH161" s="93">
        <f t="shared" si="25"/>
        <v>17488.97</v>
      </c>
      <c r="BI161" s="94">
        <f t="shared" si="26"/>
        <v>1</v>
      </c>
      <c r="BJ161" s="95" t="str">
        <f t="shared" si="27"/>
        <v>#VALUE!</v>
      </c>
      <c r="BK161" s="96" t="str">
        <f t="shared" si="28"/>
        <v>#VALUE!</v>
      </c>
      <c r="BM161" s="97">
        <f t="shared" si="29"/>
        <v>1</v>
      </c>
    </row>
    <row r="162" ht="12.75" customHeight="1">
      <c r="A162" s="65"/>
      <c r="B162" s="66" t="s">
        <v>342</v>
      </c>
      <c r="C162" s="67">
        <v>20825.0</v>
      </c>
      <c r="D162" s="68">
        <v>6.0</v>
      </c>
      <c r="E162" s="67">
        <v>18437.51</v>
      </c>
      <c r="F162" s="68" t="s">
        <v>56</v>
      </c>
      <c r="G162" s="69">
        <v>42366.0</v>
      </c>
      <c r="H162" s="71" t="s">
        <v>57</v>
      </c>
      <c r="I162" s="69">
        <v>42457.0</v>
      </c>
      <c r="J162" s="71">
        <f t="shared" si="1"/>
        <v>3.033333333</v>
      </c>
      <c r="K162" s="72" t="s">
        <v>343</v>
      </c>
      <c r="L162" s="72">
        <v>38500.0</v>
      </c>
      <c r="M162" s="73">
        <v>1166.15</v>
      </c>
      <c r="N162" s="73">
        <v>6655.870000000001</v>
      </c>
      <c r="O162" s="73">
        <v>2575.0</v>
      </c>
      <c r="P162" s="73">
        <f t="shared" si="43"/>
        <v>0</v>
      </c>
      <c r="Q162" s="73">
        <f t="shared" si="35"/>
        <v>0</v>
      </c>
      <c r="R162" s="74">
        <f t="shared" si="4"/>
        <v>0</v>
      </c>
      <c r="S162" s="74">
        <f t="shared" si="5"/>
        <v>1</v>
      </c>
      <c r="T162" s="75"/>
      <c r="V162" s="76">
        <v>85.0</v>
      </c>
      <c r="W162" s="77"/>
      <c r="X162" s="77">
        <v>5.95</v>
      </c>
      <c r="Y162" s="77">
        <v>124.73</v>
      </c>
      <c r="Z162" s="77">
        <f>65.2+166.4+46.4+83.6+37.4</f>
        <v>399</v>
      </c>
      <c r="AA162" s="77">
        <f>988.85+1483.09</f>
        <v>2471.94</v>
      </c>
      <c r="AB162" s="78">
        <f t="shared" si="38"/>
        <v>3086.62</v>
      </c>
      <c r="AC162" s="77">
        <v>11106.08</v>
      </c>
      <c r="AD162" s="79">
        <v>0.07</v>
      </c>
      <c r="AE162" s="80">
        <f t="shared" si="51"/>
        <v>383.3879671</v>
      </c>
      <c r="AF162" s="81">
        <v>7331.43</v>
      </c>
      <c r="AG162" s="79">
        <v>0.07</v>
      </c>
      <c r="AH162" s="80">
        <f t="shared" si="52"/>
        <v>253.0849808</v>
      </c>
      <c r="AI162" s="82">
        <f t="shared" si="53"/>
        <v>18437.51</v>
      </c>
      <c r="AJ162" s="82">
        <f t="shared" si="7"/>
        <v>636.4729479</v>
      </c>
      <c r="AK162" s="83">
        <f t="shared" si="41"/>
        <v>636.4729479</v>
      </c>
      <c r="AL162" s="84">
        <f t="shared" si="42"/>
        <v>1166.152948</v>
      </c>
      <c r="AP162" s="85">
        <f t="shared" si="9"/>
        <v>1</v>
      </c>
      <c r="AQ162" s="20">
        <f t="shared" si="10"/>
        <v>1</v>
      </c>
      <c r="AR162" s="20">
        <f t="shared" si="11"/>
        <v>1</v>
      </c>
      <c r="AS162" s="86">
        <f t="shared" si="12"/>
        <v>9230.87</v>
      </c>
      <c r="AT162" s="87">
        <f t="shared" si="13"/>
        <v>18437.51</v>
      </c>
      <c r="AU162" s="88">
        <f t="shared" si="14"/>
        <v>3.033333333</v>
      </c>
      <c r="AV162" s="89" t="str">
        <f t="shared" si="15"/>
        <v>#VALUE!</v>
      </c>
      <c r="AW162" s="90" t="str">
        <f t="shared" si="16"/>
        <v>#VALUE!</v>
      </c>
      <c r="AY162" s="85">
        <f t="shared" si="17"/>
        <v>0</v>
      </c>
      <c r="AZ162" s="20">
        <f t="shared" si="18"/>
        <v>1</v>
      </c>
      <c r="BA162" s="20">
        <f t="shared" si="19"/>
        <v>0</v>
      </c>
      <c r="BB162" s="91">
        <f t="shared" si="20"/>
        <v>0</v>
      </c>
      <c r="BC162" s="87">
        <f t="shared" si="21"/>
        <v>0</v>
      </c>
      <c r="BD162" s="92">
        <f t="shared" si="22"/>
        <v>0</v>
      </c>
      <c r="BE162" s="89" t="str">
        <f t="shared" si="23"/>
        <v>#VALUE!</v>
      </c>
      <c r="BF162" s="90">
        <f t="shared" si="24"/>
        <v>0</v>
      </c>
      <c r="BH162" s="93">
        <f t="shared" si="25"/>
        <v>18437.51</v>
      </c>
      <c r="BI162" s="94">
        <f t="shared" si="26"/>
        <v>1</v>
      </c>
      <c r="BJ162" s="95" t="str">
        <f t="shared" si="27"/>
        <v>#VALUE!</v>
      </c>
      <c r="BK162" s="96" t="str">
        <f t="shared" si="28"/>
        <v>#VALUE!</v>
      </c>
      <c r="BM162" s="97">
        <f t="shared" si="29"/>
        <v>1</v>
      </c>
    </row>
    <row r="163" ht="12.75" customHeight="1">
      <c r="A163" s="65"/>
      <c r="B163" s="66" t="s">
        <v>344</v>
      </c>
      <c r="C163" s="67">
        <v>18900.0</v>
      </c>
      <c r="D163" s="68">
        <v>13.0</v>
      </c>
      <c r="E163" s="67">
        <v>16420.34</v>
      </c>
      <c r="F163" s="68" t="s">
        <v>56</v>
      </c>
      <c r="G163" s="69">
        <v>42428.0</v>
      </c>
      <c r="H163" s="71" t="s">
        <v>57</v>
      </c>
      <c r="I163" s="69">
        <v>42457.0</v>
      </c>
      <c r="J163" s="71">
        <f t="shared" si="1"/>
        <v>0.9666666667</v>
      </c>
      <c r="K163" s="72" t="s">
        <v>345</v>
      </c>
      <c r="L163" s="72">
        <v>34000.0</v>
      </c>
      <c r="M163" s="73">
        <v>962.71</v>
      </c>
      <c r="N163" s="73">
        <v>8950.23</v>
      </c>
      <c r="O163" s="73">
        <v>3271.38</v>
      </c>
      <c r="P163" s="73">
        <f t="shared" si="43"/>
        <v>0</v>
      </c>
      <c r="Q163" s="73">
        <f t="shared" si="35"/>
        <v>0</v>
      </c>
      <c r="R163" s="74">
        <f t="shared" si="4"/>
        <v>0</v>
      </c>
      <c r="S163" s="74">
        <f t="shared" si="5"/>
        <v>1</v>
      </c>
      <c r="T163" s="75"/>
      <c r="V163" s="76">
        <v>131.75</v>
      </c>
      <c r="W163" s="77"/>
      <c r="X163" s="77">
        <v>9.22</v>
      </c>
      <c r="Y163" s="77"/>
      <c r="Z163" s="77">
        <f>86.49+163.37+76.26+39.37+33.79</f>
        <v>399.28</v>
      </c>
      <c r="AA163" s="77">
        <f>2030.17+919.48</f>
        <v>2949.65</v>
      </c>
      <c r="AB163" s="78">
        <f t="shared" si="38"/>
        <v>3489.9</v>
      </c>
      <c r="AC163" s="77">
        <v>11900.01</v>
      </c>
      <c r="AD163" s="79">
        <v>0.065</v>
      </c>
      <c r="AE163" s="80">
        <f t="shared" si="51"/>
        <v>381.4523753</v>
      </c>
      <c r="AF163" s="81">
        <v>4520.33</v>
      </c>
      <c r="AG163" s="79">
        <v>0.0775</v>
      </c>
      <c r="AH163" s="80">
        <f t="shared" si="52"/>
        <v>172.7632973</v>
      </c>
      <c r="AI163" s="82">
        <f t="shared" si="53"/>
        <v>16420.34</v>
      </c>
      <c r="AJ163" s="82">
        <f t="shared" si="7"/>
        <v>554.2156726</v>
      </c>
      <c r="AK163" s="83">
        <f t="shared" si="41"/>
        <v>554.2156726</v>
      </c>
      <c r="AL163" s="84">
        <f t="shared" si="42"/>
        <v>962.7156726</v>
      </c>
      <c r="AP163" s="85">
        <f t="shared" si="9"/>
        <v>1</v>
      </c>
      <c r="AQ163" s="20">
        <f t="shared" si="10"/>
        <v>1</v>
      </c>
      <c r="AR163" s="20">
        <f t="shared" si="11"/>
        <v>1</v>
      </c>
      <c r="AS163" s="86">
        <f t="shared" si="12"/>
        <v>12221.61</v>
      </c>
      <c r="AT163" s="87">
        <f t="shared" si="13"/>
        <v>16420.34</v>
      </c>
      <c r="AU163" s="88">
        <f t="shared" si="14"/>
        <v>0.9666666667</v>
      </c>
      <c r="AV163" s="89" t="str">
        <f t="shared" si="15"/>
        <v>#VALUE!</v>
      </c>
      <c r="AW163" s="90" t="str">
        <f t="shared" si="16"/>
        <v>#VALUE!</v>
      </c>
      <c r="AY163" s="85">
        <f t="shared" si="17"/>
        <v>0</v>
      </c>
      <c r="AZ163" s="20">
        <f t="shared" si="18"/>
        <v>1</v>
      </c>
      <c r="BA163" s="20">
        <f t="shared" si="19"/>
        <v>0</v>
      </c>
      <c r="BB163" s="91">
        <f t="shared" si="20"/>
        <v>0</v>
      </c>
      <c r="BC163" s="87">
        <f t="shared" si="21"/>
        <v>0</v>
      </c>
      <c r="BD163" s="92">
        <f t="shared" si="22"/>
        <v>0</v>
      </c>
      <c r="BE163" s="89" t="str">
        <f t="shared" si="23"/>
        <v>#VALUE!</v>
      </c>
      <c r="BF163" s="90">
        <f t="shared" si="24"/>
        <v>0</v>
      </c>
      <c r="BH163" s="93">
        <f t="shared" si="25"/>
        <v>16420.34</v>
      </c>
      <c r="BI163" s="94">
        <f t="shared" si="26"/>
        <v>1</v>
      </c>
      <c r="BJ163" s="95" t="str">
        <f t="shared" si="27"/>
        <v>#VALUE!</v>
      </c>
      <c r="BK163" s="96" t="str">
        <f t="shared" si="28"/>
        <v>#VALUE!</v>
      </c>
      <c r="BM163" s="97">
        <f t="shared" si="29"/>
        <v>1</v>
      </c>
    </row>
    <row r="164" ht="12.75" customHeight="1">
      <c r="A164" s="65"/>
      <c r="B164" s="66" t="s">
        <v>346</v>
      </c>
      <c r="C164" s="67">
        <v>30310.92</v>
      </c>
      <c r="D164" s="68">
        <v>13.0</v>
      </c>
      <c r="E164" s="67">
        <v>30305.7</v>
      </c>
      <c r="F164" s="68" t="s">
        <v>56</v>
      </c>
      <c r="G164" s="69">
        <v>42428.0</v>
      </c>
      <c r="H164" s="71" t="s">
        <v>57</v>
      </c>
      <c r="I164" s="69">
        <v>42518.0</v>
      </c>
      <c r="J164" s="71">
        <f t="shared" si="1"/>
        <v>3</v>
      </c>
      <c r="K164" s="72" t="s">
        <v>69</v>
      </c>
      <c r="L164" s="72">
        <v>42150.0</v>
      </c>
      <c r="M164" s="73">
        <v>1559.07</v>
      </c>
      <c r="N164" s="73">
        <v>8960.01</v>
      </c>
      <c r="O164" s="73">
        <v>2750.0</v>
      </c>
      <c r="P164" s="73">
        <f t="shared" si="43"/>
        <v>0</v>
      </c>
      <c r="Q164" s="73">
        <f t="shared" si="35"/>
        <v>1424.78</v>
      </c>
      <c r="R164" s="74">
        <f t="shared" si="4"/>
        <v>0.0470135981</v>
      </c>
      <c r="S164" s="74">
        <f t="shared" si="5"/>
        <v>0.9529864019</v>
      </c>
      <c r="T164" s="75"/>
      <c r="V164" s="76">
        <v>184.0</v>
      </c>
      <c r="W164" s="77"/>
      <c r="X164" s="77">
        <v>12.88</v>
      </c>
      <c r="Y164" s="77">
        <v>261.11</v>
      </c>
      <c r="Z164" s="77">
        <f>110.25+272.16+65.13+195.51+68.46</f>
        <v>711.51</v>
      </c>
      <c r="AA164" s="77">
        <f>407.54+1967.01</f>
        <v>2374.55</v>
      </c>
      <c r="AB164" s="78">
        <f t="shared" si="38"/>
        <v>3544.05</v>
      </c>
      <c r="AC164" s="77">
        <v>16666.7</v>
      </c>
      <c r="AD164" s="79">
        <v>0.0125</v>
      </c>
      <c r="AE164" s="80">
        <f t="shared" si="51"/>
        <v>102.7399315</v>
      </c>
      <c r="AF164" s="81">
        <v>13639.0</v>
      </c>
      <c r="AG164" s="79">
        <v>0.07</v>
      </c>
      <c r="AH164" s="80">
        <f t="shared" si="52"/>
        <v>470.8257534</v>
      </c>
      <c r="AI164" s="82">
        <f t="shared" si="53"/>
        <v>30305.7</v>
      </c>
      <c r="AJ164" s="82">
        <f t="shared" si="7"/>
        <v>573.5656849</v>
      </c>
      <c r="AK164" s="83">
        <f t="shared" si="41"/>
        <v>573.5656849</v>
      </c>
      <c r="AL164" s="84">
        <f t="shared" si="42"/>
        <v>1559.065685</v>
      </c>
      <c r="AP164" s="85">
        <f t="shared" si="9"/>
        <v>1</v>
      </c>
      <c r="AQ164" s="20">
        <f t="shared" si="10"/>
        <v>1</v>
      </c>
      <c r="AR164" s="20">
        <f t="shared" si="11"/>
        <v>1</v>
      </c>
      <c r="AS164" s="86">
        <f t="shared" si="12"/>
        <v>11710.01</v>
      </c>
      <c r="AT164" s="87">
        <f t="shared" si="13"/>
        <v>30305.7</v>
      </c>
      <c r="AU164" s="88">
        <f t="shared" si="14"/>
        <v>3</v>
      </c>
      <c r="AV164" s="89" t="str">
        <f t="shared" si="15"/>
        <v>#VALUE!</v>
      </c>
      <c r="AW164" s="90" t="str">
        <f t="shared" si="16"/>
        <v>#VALUE!</v>
      </c>
      <c r="AY164" s="85">
        <f t="shared" si="17"/>
        <v>0</v>
      </c>
      <c r="AZ164" s="20">
        <f t="shared" si="18"/>
        <v>1</v>
      </c>
      <c r="BA164" s="20">
        <f t="shared" si="19"/>
        <v>0</v>
      </c>
      <c r="BB164" s="91">
        <f t="shared" si="20"/>
        <v>0</v>
      </c>
      <c r="BC164" s="87">
        <f t="shared" si="21"/>
        <v>0</v>
      </c>
      <c r="BD164" s="92">
        <f t="shared" si="22"/>
        <v>0</v>
      </c>
      <c r="BE164" s="89" t="str">
        <f t="shared" si="23"/>
        <v>#VALUE!</v>
      </c>
      <c r="BF164" s="90">
        <f t="shared" si="24"/>
        <v>0</v>
      </c>
      <c r="BH164" s="93">
        <f t="shared" si="25"/>
        <v>30305.7</v>
      </c>
      <c r="BI164" s="94">
        <f t="shared" si="26"/>
        <v>1</v>
      </c>
      <c r="BJ164" s="95" t="str">
        <f t="shared" si="27"/>
        <v>#VALUE!</v>
      </c>
      <c r="BK164" s="96" t="str">
        <f t="shared" si="28"/>
        <v>#VALUE!</v>
      </c>
      <c r="BM164" s="97">
        <f t="shared" si="29"/>
        <v>1</v>
      </c>
    </row>
    <row r="165" ht="12.75" customHeight="1">
      <c r="A165" s="65"/>
      <c r="B165" s="66" t="s">
        <v>347</v>
      </c>
      <c r="C165" s="67">
        <v>30599.83</v>
      </c>
      <c r="D165" s="68">
        <v>13.0</v>
      </c>
      <c r="E165" s="67">
        <v>27272.95</v>
      </c>
      <c r="F165" s="68" t="s">
        <v>56</v>
      </c>
      <c r="G165" s="69">
        <v>42428.0</v>
      </c>
      <c r="H165" s="71" t="s">
        <v>57</v>
      </c>
      <c r="I165" s="69">
        <v>42579.0</v>
      </c>
      <c r="J165" s="71">
        <f t="shared" si="1"/>
        <v>5.033333333</v>
      </c>
      <c r="K165" s="72" t="s">
        <v>348</v>
      </c>
      <c r="L165" s="72">
        <v>50000.0</v>
      </c>
      <c r="M165" s="73">
        <v>1160.16</v>
      </c>
      <c r="N165" s="73">
        <v>4170.78</v>
      </c>
      <c r="O165" s="73">
        <v>823.0</v>
      </c>
      <c r="P165" s="73">
        <f t="shared" si="43"/>
        <v>0</v>
      </c>
      <c r="Q165" s="73">
        <f t="shared" si="35"/>
        <v>0</v>
      </c>
      <c r="R165" s="74">
        <f t="shared" si="4"/>
        <v>0</v>
      </c>
      <c r="S165" s="74">
        <f t="shared" si="5"/>
        <v>1</v>
      </c>
      <c r="T165" s="75"/>
      <c r="V165" s="76">
        <v>68.0</v>
      </c>
      <c r="W165" s="77"/>
      <c r="X165" s="77">
        <v>4.76</v>
      </c>
      <c r="Y165" s="77"/>
      <c r="Z165" s="77">
        <f>72.32+172</f>
        <v>244.32</v>
      </c>
      <c r="AA165" s="77">
        <v>2135.73</v>
      </c>
      <c r="AB165" s="78">
        <f t="shared" si="38"/>
        <v>2452.81</v>
      </c>
      <c r="AC165" s="77">
        <v>21295.5</v>
      </c>
      <c r="AD165" s="79">
        <v>0.065</v>
      </c>
      <c r="AE165" s="80">
        <f t="shared" si="51"/>
        <v>682.6228767</v>
      </c>
      <c r="AF165" s="81">
        <v>5977.45</v>
      </c>
      <c r="AG165" s="79">
        <v>0.0775</v>
      </c>
      <c r="AH165" s="80">
        <f t="shared" si="52"/>
        <v>228.453226</v>
      </c>
      <c r="AI165" s="82">
        <f t="shared" si="53"/>
        <v>27272.95</v>
      </c>
      <c r="AJ165" s="82">
        <f t="shared" si="7"/>
        <v>911.0761027</v>
      </c>
      <c r="AK165" s="83">
        <f t="shared" si="41"/>
        <v>911.0761027</v>
      </c>
      <c r="AL165" s="84">
        <f t="shared" si="42"/>
        <v>1160.156103</v>
      </c>
      <c r="AP165" s="85">
        <f t="shared" si="9"/>
        <v>1</v>
      </c>
      <c r="AQ165" s="20">
        <f t="shared" si="10"/>
        <v>1</v>
      </c>
      <c r="AR165" s="20">
        <f t="shared" si="11"/>
        <v>1</v>
      </c>
      <c r="AS165" s="86">
        <f t="shared" si="12"/>
        <v>4993.78</v>
      </c>
      <c r="AT165" s="87">
        <f t="shared" si="13"/>
        <v>27272.95</v>
      </c>
      <c r="AU165" s="88">
        <f t="shared" si="14"/>
        <v>5.033333333</v>
      </c>
      <c r="AV165" s="89" t="str">
        <f t="shared" si="15"/>
        <v>#VALUE!</v>
      </c>
      <c r="AW165" s="90" t="str">
        <f t="shared" si="16"/>
        <v>#VALUE!</v>
      </c>
      <c r="AY165" s="85">
        <f t="shared" si="17"/>
        <v>0</v>
      </c>
      <c r="AZ165" s="20">
        <f t="shared" si="18"/>
        <v>1</v>
      </c>
      <c r="BA165" s="20">
        <f t="shared" si="19"/>
        <v>0</v>
      </c>
      <c r="BB165" s="91">
        <f t="shared" si="20"/>
        <v>0</v>
      </c>
      <c r="BC165" s="87">
        <f t="shared" si="21"/>
        <v>0</v>
      </c>
      <c r="BD165" s="92">
        <f t="shared" si="22"/>
        <v>0</v>
      </c>
      <c r="BE165" s="89" t="str">
        <f t="shared" si="23"/>
        <v>#VALUE!</v>
      </c>
      <c r="BF165" s="90">
        <f t="shared" si="24"/>
        <v>0</v>
      </c>
      <c r="BH165" s="93">
        <f t="shared" si="25"/>
        <v>27272.95</v>
      </c>
      <c r="BI165" s="94">
        <f t="shared" si="26"/>
        <v>1</v>
      </c>
      <c r="BJ165" s="95" t="str">
        <f t="shared" si="27"/>
        <v>#VALUE!</v>
      </c>
      <c r="BK165" s="96" t="str">
        <f t="shared" si="28"/>
        <v>#VALUE!</v>
      </c>
      <c r="BM165" s="97">
        <f t="shared" si="29"/>
        <v>1</v>
      </c>
    </row>
    <row r="166" ht="12.75" customHeight="1">
      <c r="A166" s="65"/>
      <c r="B166" s="66" t="s">
        <v>349</v>
      </c>
      <c r="C166" s="67">
        <v>19906.51</v>
      </c>
      <c r="D166" s="68">
        <v>6.0</v>
      </c>
      <c r="E166" s="67">
        <v>16898.99</v>
      </c>
      <c r="F166" s="68" t="s">
        <v>56</v>
      </c>
      <c r="G166" s="69">
        <v>42457.0</v>
      </c>
      <c r="H166" s="71" t="s">
        <v>57</v>
      </c>
      <c r="I166" s="69">
        <v>42488.0</v>
      </c>
      <c r="J166" s="71">
        <f t="shared" si="1"/>
        <v>1.033333333</v>
      </c>
      <c r="K166" s="72" t="s">
        <v>350</v>
      </c>
      <c r="L166" s="72">
        <v>38000.0</v>
      </c>
      <c r="M166" s="73">
        <v>8.67</v>
      </c>
      <c r="N166" s="73">
        <v>3894.38</v>
      </c>
      <c r="O166" s="73">
        <v>0.0</v>
      </c>
      <c r="P166" s="73">
        <f t="shared" si="43"/>
        <v>0</v>
      </c>
      <c r="Q166" s="73">
        <f t="shared" si="35"/>
        <v>0</v>
      </c>
      <c r="R166" s="74">
        <f t="shared" si="4"/>
        <v>0</v>
      </c>
      <c r="S166" s="74">
        <f t="shared" si="5"/>
        <v>1</v>
      </c>
      <c r="T166" s="75"/>
      <c r="V166" s="76">
        <v>4.25</v>
      </c>
      <c r="W166" s="77"/>
      <c r="X166" s="77">
        <v>0.3</v>
      </c>
      <c r="Y166" s="77"/>
      <c r="Z166" s="77">
        <f>2.65+2.3+3.26</f>
        <v>8.21</v>
      </c>
      <c r="AA166" s="77">
        <v>0.16</v>
      </c>
      <c r="AB166" s="78">
        <f t="shared" si="38"/>
        <v>12.92</v>
      </c>
      <c r="AC166" s="77"/>
      <c r="AD166" s="79">
        <v>0.02</v>
      </c>
      <c r="AE166" s="80">
        <f t="shared" ref="AE166:AE169" si="54">((E166*AD166)/365)*180</f>
        <v>166.6749699</v>
      </c>
      <c r="AF166" s="81"/>
      <c r="AG166" s="79"/>
      <c r="AH166" s="80">
        <f t="shared" ref="AH166:AH169" si="55">((E166*AG166)/365)*180</f>
        <v>0</v>
      </c>
      <c r="AI166" s="82"/>
      <c r="AJ166" s="82">
        <f t="shared" si="7"/>
        <v>166.6749699</v>
      </c>
      <c r="AK166" s="83">
        <f t="shared" si="41"/>
        <v>0.16</v>
      </c>
      <c r="AL166" s="84">
        <f t="shared" si="42"/>
        <v>8.67</v>
      </c>
      <c r="AP166" s="85">
        <f t="shared" si="9"/>
        <v>1</v>
      </c>
      <c r="AQ166" s="20">
        <f t="shared" si="10"/>
        <v>1</v>
      </c>
      <c r="AR166" s="20">
        <f t="shared" si="11"/>
        <v>1</v>
      </c>
      <c r="AS166" s="86">
        <f t="shared" si="12"/>
        <v>3894.38</v>
      </c>
      <c r="AT166" s="87">
        <f t="shared" si="13"/>
        <v>16898.99</v>
      </c>
      <c r="AU166" s="88">
        <f t="shared" si="14"/>
        <v>1.033333333</v>
      </c>
      <c r="AV166" s="89" t="str">
        <f t="shared" si="15"/>
        <v>#VALUE!</v>
      </c>
      <c r="AW166" s="90" t="str">
        <f t="shared" si="16"/>
        <v>#VALUE!</v>
      </c>
      <c r="AY166" s="85">
        <f t="shared" si="17"/>
        <v>0</v>
      </c>
      <c r="AZ166" s="20">
        <f t="shared" si="18"/>
        <v>1</v>
      </c>
      <c r="BA166" s="20">
        <f t="shared" si="19"/>
        <v>0</v>
      </c>
      <c r="BB166" s="91">
        <f t="shared" si="20"/>
        <v>0</v>
      </c>
      <c r="BC166" s="87">
        <f t="shared" si="21"/>
        <v>0</v>
      </c>
      <c r="BD166" s="92">
        <f t="shared" si="22"/>
        <v>0</v>
      </c>
      <c r="BE166" s="89" t="str">
        <f t="shared" si="23"/>
        <v>#VALUE!</v>
      </c>
      <c r="BF166" s="90">
        <f t="shared" si="24"/>
        <v>0</v>
      </c>
      <c r="BH166" s="93">
        <f t="shared" si="25"/>
        <v>16898.99</v>
      </c>
      <c r="BI166" s="94">
        <f t="shared" si="26"/>
        <v>1</v>
      </c>
      <c r="BJ166" s="95" t="str">
        <f t="shared" si="27"/>
        <v>#VALUE!</v>
      </c>
      <c r="BK166" s="96" t="str">
        <f t="shared" si="28"/>
        <v>#VALUE!</v>
      </c>
      <c r="BM166" s="97">
        <f t="shared" si="29"/>
        <v>1</v>
      </c>
    </row>
    <row r="167" ht="12.75" customHeight="1">
      <c r="A167" s="65"/>
      <c r="B167" s="66" t="s">
        <v>351</v>
      </c>
      <c r="C167" s="67">
        <v>35635.05</v>
      </c>
      <c r="D167" s="68">
        <v>13.0</v>
      </c>
      <c r="E167" s="67">
        <v>35173.98</v>
      </c>
      <c r="F167" s="68" t="s">
        <v>56</v>
      </c>
      <c r="G167" s="69">
        <v>42488.0</v>
      </c>
      <c r="H167" s="71" t="s">
        <v>57</v>
      </c>
      <c r="I167" s="69">
        <v>42518.0</v>
      </c>
      <c r="J167" s="71">
        <f t="shared" si="1"/>
        <v>1</v>
      </c>
      <c r="K167" s="72" t="s">
        <v>181</v>
      </c>
      <c r="L167" s="72">
        <v>41500.0</v>
      </c>
      <c r="M167" s="73">
        <v>314.21</v>
      </c>
      <c r="N167" s="73">
        <v>10460.33</v>
      </c>
      <c r="O167" s="73">
        <v>470.0</v>
      </c>
      <c r="P167" s="73">
        <f t="shared" si="43"/>
        <v>0</v>
      </c>
      <c r="Q167" s="73">
        <f t="shared" si="35"/>
        <v>4918.52</v>
      </c>
      <c r="R167" s="74">
        <f t="shared" si="4"/>
        <v>0.1398340478</v>
      </c>
      <c r="S167" s="74">
        <f t="shared" si="5"/>
        <v>0.8601659522</v>
      </c>
      <c r="T167" s="75"/>
      <c r="V167" s="76">
        <v>152.15</v>
      </c>
      <c r="W167" s="77"/>
      <c r="X167" s="77">
        <v>10.65</v>
      </c>
      <c r="Y167" s="77"/>
      <c r="Z167" s="77"/>
      <c r="AA167" s="77">
        <v>1767.37</v>
      </c>
      <c r="AB167" s="78">
        <f t="shared" si="38"/>
        <v>1930.17</v>
      </c>
      <c r="AC167" s="77"/>
      <c r="AD167" s="79">
        <v>0.0175</v>
      </c>
      <c r="AE167" s="80">
        <f t="shared" si="54"/>
        <v>303.5562658</v>
      </c>
      <c r="AF167" s="81"/>
      <c r="AG167" s="79"/>
      <c r="AH167" s="80">
        <f t="shared" si="55"/>
        <v>0</v>
      </c>
      <c r="AI167" s="82"/>
      <c r="AJ167" s="82">
        <f t="shared" si="7"/>
        <v>303.5562658</v>
      </c>
      <c r="AK167" s="83">
        <f t="shared" si="41"/>
        <v>303.5562658</v>
      </c>
      <c r="AL167" s="84">
        <f t="shared" si="42"/>
        <v>314.2062658</v>
      </c>
      <c r="AP167" s="85">
        <f t="shared" si="9"/>
        <v>1</v>
      </c>
      <c r="AQ167" s="20">
        <f t="shared" si="10"/>
        <v>1</v>
      </c>
      <c r="AR167" s="20">
        <f t="shared" si="11"/>
        <v>1</v>
      </c>
      <c r="AS167" s="86">
        <f t="shared" si="12"/>
        <v>10930.33</v>
      </c>
      <c r="AT167" s="87">
        <f t="shared" si="13"/>
        <v>35173.98</v>
      </c>
      <c r="AU167" s="88">
        <f t="shared" si="14"/>
        <v>1</v>
      </c>
      <c r="AV167" s="89" t="str">
        <f t="shared" si="15"/>
        <v>#VALUE!</v>
      </c>
      <c r="AW167" s="90" t="str">
        <f t="shared" si="16"/>
        <v>#VALUE!</v>
      </c>
      <c r="AY167" s="85">
        <f t="shared" si="17"/>
        <v>0</v>
      </c>
      <c r="AZ167" s="20">
        <f t="shared" si="18"/>
        <v>1</v>
      </c>
      <c r="BA167" s="20">
        <f t="shared" si="19"/>
        <v>0</v>
      </c>
      <c r="BB167" s="91">
        <f t="shared" si="20"/>
        <v>0</v>
      </c>
      <c r="BC167" s="87">
        <f t="shared" si="21"/>
        <v>0</v>
      </c>
      <c r="BD167" s="92">
        <f t="shared" si="22"/>
        <v>0</v>
      </c>
      <c r="BE167" s="89" t="str">
        <f t="shared" si="23"/>
        <v>#VALUE!</v>
      </c>
      <c r="BF167" s="90">
        <f t="shared" si="24"/>
        <v>0</v>
      </c>
      <c r="BH167" s="93">
        <f t="shared" si="25"/>
        <v>35173.98</v>
      </c>
      <c r="BI167" s="94">
        <f t="shared" si="26"/>
        <v>1</v>
      </c>
      <c r="BJ167" s="95" t="str">
        <f t="shared" si="27"/>
        <v>#VALUE!</v>
      </c>
      <c r="BK167" s="96" t="str">
        <f t="shared" si="28"/>
        <v>#VALUE!</v>
      </c>
      <c r="BM167" s="97">
        <f t="shared" si="29"/>
        <v>1</v>
      </c>
    </row>
    <row r="168" ht="12.75" customHeight="1">
      <c r="A168" s="65"/>
      <c r="B168" s="66" t="s">
        <v>352</v>
      </c>
      <c r="C168" s="67">
        <v>29695.05</v>
      </c>
      <c r="D168" s="68">
        <v>13.0</v>
      </c>
      <c r="E168" s="67">
        <v>27567.12</v>
      </c>
      <c r="F168" s="68" t="s">
        <v>56</v>
      </c>
      <c r="G168" s="69">
        <v>42518.0</v>
      </c>
      <c r="H168" s="71" t="s">
        <v>57</v>
      </c>
      <c r="I168" s="69">
        <v>42732.0</v>
      </c>
      <c r="J168" s="71">
        <f t="shared" si="1"/>
        <v>7.133333333</v>
      </c>
      <c r="K168" s="72" t="s">
        <v>350</v>
      </c>
      <c r="L168" s="72">
        <v>43000.0</v>
      </c>
      <c r="M168" s="73">
        <v>257.64</v>
      </c>
      <c r="N168" s="73">
        <v>2892.65</v>
      </c>
      <c r="O168" s="73">
        <v>3986.22</v>
      </c>
      <c r="P168" s="73">
        <f t="shared" si="43"/>
        <v>0</v>
      </c>
      <c r="Q168" s="73">
        <f t="shared" si="35"/>
        <v>0</v>
      </c>
      <c r="R168" s="74">
        <f t="shared" si="4"/>
        <v>0</v>
      </c>
      <c r="S168" s="74">
        <f t="shared" si="5"/>
        <v>1</v>
      </c>
      <c r="T168" s="75"/>
      <c r="V168" s="76">
        <v>152.0</v>
      </c>
      <c r="W168" s="77"/>
      <c r="X168" s="77">
        <v>10.64</v>
      </c>
      <c r="Y168" s="77"/>
      <c r="Z168" s="77">
        <f>75.81+171.19</f>
        <v>247</v>
      </c>
      <c r="AA168" s="77"/>
      <c r="AB168" s="78">
        <f t="shared" si="38"/>
        <v>409.64</v>
      </c>
      <c r="AC168" s="77"/>
      <c r="AD168" s="79">
        <v>0.0</v>
      </c>
      <c r="AE168" s="80">
        <f t="shared" si="54"/>
        <v>0</v>
      </c>
      <c r="AF168" s="81"/>
      <c r="AG168" s="79"/>
      <c r="AH168" s="80">
        <f t="shared" si="55"/>
        <v>0</v>
      </c>
      <c r="AI168" s="82"/>
      <c r="AJ168" s="82">
        <f t="shared" si="7"/>
        <v>0</v>
      </c>
      <c r="AK168" s="83" t="str">
        <f t="shared" si="41"/>
        <v/>
      </c>
      <c r="AL168" s="84">
        <f t="shared" si="42"/>
        <v>257.64</v>
      </c>
      <c r="AP168" s="85">
        <f t="shared" si="9"/>
        <v>1</v>
      </c>
      <c r="AQ168" s="20">
        <f t="shared" si="10"/>
        <v>1</v>
      </c>
      <c r="AR168" s="20">
        <f t="shared" si="11"/>
        <v>1</v>
      </c>
      <c r="AS168" s="86">
        <f t="shared" si="12"/>
        <v>6878.87</v>
      </c>
      <c r="AT168" s="87">
        <f t="shared" si="13"/>
        <v>27567.12</v>
      </c>
      <c r="AU168" s="88">
        <f t="shared" si="14"/>
        <v>7.133333333</v>
      </c>
      <c r="AV168" s="89" t="str">
        <f t="shared" si="15"/>
        <v>#VALUE!</v>
      </c>
      <c r="AW168" s="90" t="str">
        <f t="shared" si="16"/>
        <v>#VALUE!</v>
      </c>
      <c r="AY168" s="85">
        <f t="shared" si="17"/>
        <v>0</v>
      </c>
      <c r="AZ168" s="20">
        <f t="shared" si="18"/>
        <v>1</v>
      </c>
      <c r="BA168" s="20">
        <f t="shared" si="19"/>
        <v>0</v>
      </c>
      <c r="BB168" s="91">
        <f t="shared" si="20"/>
        <v>0</v>
      </c>
      <c r="BC168" s="87">
        <f t="shared" si="21"/>
        <v>0</v>
      </c>
      <c r="BD168" s="92">
        <f t="shared" si="22"/>
        <v>0</v>
      </c>
      <c r="BE168" s="89" t="str">
        <f t="shared" si="23"/>
        <v>#VALUE!</v>
      </c>
      <c r="BF168" s="90">
        <f t="shared" si="24"/>
        <v>0</v>
      </c>
      <c r="BH168" s="93">
        <f t="shared" si="25"/>
        <v>27567.12</v>
      </c>
      <c r="BI168" s="94">
        <f t="shared" si="26"/>
        <v>1</v>
      </c>
      <c r="BJ168" s="95" t="str">
        <f t="shared" si="27"/>
        <v>#VALUE!</v>
      </c>
      <c r="BK168" s="96" t="str">
        <f t="shared" si="28"/>
        <v>#VALUE!</v>
      </c>
      <c r="BM168" s="97">
        <f t="shared" si="29"/>
        <v>1</v>
      </c>
    </row>
    <row r="169" ht="12.75" customHeight="1">
      <c r="A169" s="65"/>
      <c r="B169" s="66" t="s">
        <v>353</v>
      </c>
      <c r="C169" s="67">
        <v>25300.0</v>
      </c>
      <c r="D169" s="68">
        <v>13.0</v>
      </c>
      <c r="E169" s="67">
        <v>24392.35</v>
      </c>
      <c r="F169" s="68" t="s">
        <v>56</v>
      </c>
      <c r="G169" s="69">
        <v>42518.0</v>
      </c>
      <c r="H169" s="71" t="s">
        <v>57</v>
      </c>
      <c r="I169" s="69">
        <v>43006.0</v>
      </c>
      <c r="J169" s="71">
        <f t="shared" si="1"/>
        <v>16.26666667</v>
      </c>
      <c r="K169" s="72" t="s">
        <v>354</v>
      </c>
      <c r="L169" s="72">
        <v>25000.0</v>
      </c>
      <c r="M169" s="73">
        <v>470.52000000000004</v>
      </c>
      <c r="N169" s="73">
        <v>3399.46</v>
      </c>
      <c r="O169" s="73">
        <v>8031.06</v>
      </c>
      <c r="P169" s="73">
        <f t="shared" si="43"/>
        <v>0</v>
      </c>
      <c r="Q169" s="73">
        <f t="shared" si="35"/>
        <v>11293.39</v>
      </c>
      <c r="R169" s="74">
        <f t="shared" si="4"/>
        <v>0.4629890109</v>
      </c>
      <c r="S169" s="74">
        <f t="shared" si="5"/>
        <v>0.5370109891</v>
      </c>
      <c r="T169" s="75"/>
      <c r="V169" s="76">
        <v>288.0</v>
      </c>
      <c r="W169" s="77"/>
      <c r="X169" s="77">
        <v>20.16</v>
      </c>
      <c r="Y169" s="77"/>
      <c r="Z169" s="77">
        <f>143.64+172.08+134.64</f>
        <v>450.36</v>
      </c>
      <c r="AA169" s="77"/>
      <c r="AB169" s="78">
        <f t="shared" si="38"/>
        <v>758.52</v>
      </c>
      <c r="AC169" s="77"/>
      <c r="AD169" s="79">
        <v>0.0</v>
      </c>
      <c r="AE169" s="80">
        <f t="shared" si="54"/>
        <v>0</v>
      </c>
      <c r="AF169" s="81"/>
      <c r="AG169" s="79"/>
      <c r="AH169" s="80">
        <f t="shared" si="55"/>
        <v>0</v>
      </c>
      <c r="AI169" s="82"/>
      <c r="AJ169" s="82">
        <f t="shared" si="7"/>
        <v>0</v>
      </c>
      <c r="AK169" s="83" t="str">
        <f t="shared" si="41"/>
        <v/>
      </c>
      <c r="AL169" s="84">
        <f t="shared" si="42"/>
        <v>470.52</v>
      </c>
      <c r="AP169" s="85">
        <f t="shared" si="9"/>
        <v>1</v>
      </c>
      <c r="AQ169" s="20">
        <f t="shared" si="10"/>
        <v>1</v>
      </c>
      <c r="AR169" s="20">
        <f t="shared" si="11"/>
        <v>1</v>
      </c>
      <c r="AS169" s="86">
        <f t="shared" si="12"/>
        <v>11430.52</v>
      </c>
      <c r="AT169" s="87">
        <f t="shared" si="13"/>
        <v>24392.35</v>
      </c>
      <c r="AU169" s="88">
        <f t="shared" si="14"/>
        <v>16.26666667</v>
      </c>
      <c r="AV169" s="89" t="str">
        <f t="shared" si="15"/>
        <v>#VALUE!</v>
      </c>
      <c r="AW169" s="90" t="str">
        <f t="shared" si="16"/>
        <v>#VALUE!</v>
      </c>
      <c r="AY169" s="85">
        <f t="shared" si="17"/>
        <v>0</v>
      </c>
      <c r="AZ169" s="20">
        <f t="shared" si="18"/>
        <v>1</v>
      </c>
      <c r="BA169" s="20">
        <f t="shared" si="19"/>
        <v>0</v>
      </c>
      <c r="BB169" s="91">
        <f t="shared" si="20"/>
        <v>0</v>
      </c>
      <c r="BC169" s="87">
        <f t="shared" si="21"/>
        <v>0</v>
      </c>
      <c r="BD169" s="92">
        <f t="shared" si="22"/>
        <v>0</v>
      </c>
      <c r="BE169" s="89" t="str">
        <f t="shared" si="23"/>
        <v>#VALUE!</v>
      </c>
      <c r="BF169" s="90">
        <f t="shared" si="24"/>
        <v>0</v>
      </c>
      <c r="BH169" s="93">
        <f t="shared" si="25"/>
        <v>24392.35</v>
      </c>
      <c r="BI169" s="94">
        <f t="shared" si="26"/>
        <v>1</v>
      </c>
      <c r="BJ169" s="95" t="str">
        <f t="shared" si="27"/>
        <v>#VALUE!</v>
      </c>
      <c r="BK169" s="96" t="str">
        <f t="shared" si="28"/>
        <v>#VALUE!</v>
      </c>
      <c r="BM169" s="97">
        <f t="shared" si="29"/>
        <v>1</v>
      </c>
    </row>
    <row r="170" ht="12.75" customHeight="1">
      <c r="A170" s="65"/>
      <c r="B170" s="66" t="s">
        <v>355</v>
      </c>
      <c r="C170" s="67">
        <v>26775.0</v>
      </c>
      <c r="D170" s="68">
        <v>13.0</v>
      </c>
      <c r="E170" s="67">
        <v>24096.65</v>
      </c>
      <c r="F170" s="68" t="s">
        <v>56</v>
      </c>
      <c r="G170" s="69">
        <v>42641.0</v>
      </c>
      <c r="H170" s="71" t="s">
        <v>57</v>
      </c>
      <c r="I170" s="69">
        <v>42732.0</v>
      </c>
      <c r="J170" s="71">
        <f t="shared" si="1"/>
        <v>3.033333333</v>
      </c>
      <c r="K170" s="72" t="s">
        <v>181</v>
      </c>
      <c r="L170" s="72">
        <v>68000.0</v>
      </c>
      <c r="M170" s="73">
        <v>1132.58</v>
      </c>
      <c r="N170" s="73">
        <v>4618.5599999999995</v>
      </c>
      <c r="O170" s="73">
        <v>9000.0</v>
      </c>
      <c r="P170" s="73">
        <f t="shared" si="43"/>
        <v>0</v>
      </c>
      <c r="Q170" s="73">
        <f t="shared" si="35"/>
        <v>0</v>
      </c>
      <c r="R170" s="74">
        <f t="shared" si="4"/>
        <v>0</v>
      </c>
      <c r="S170" s="74">
        <f t="shared" si="5"/>
        <v>1</v>
      </c>
      <c r="T170" s="75"/>
      <c r="V170" s="76">
        <v>305.18</v>
      </c>
      <c r="W170" s="77">
        <v>1.6</v>
      </c>
      <c r="X170" s="77">
        <v>21.47</v>
      </c>
      <c r="Y170" s="77"/>
      <c r="Z170" s="77">
        <f>188.55</f>
        <v>188.55</v>
      </c>
      <c r="AA170" s="77">
        <f>+1339.54</f>
        <v>1339.54</v>
      </c>
      <c r="AB170" s="78">
        <f t="shared" si="38"/>
        <v>1856.34</v>
      </c>
      <c r="AC170" s="77">
        <v>3843.81</v>
      </c>
      <c r="AD170" s="79">
        <v>0.0775</v>
      </c>
      <c r="AE170" s="80">
        <f t="shared" ref="AE170:AE171" si="56">((AC170*AD170)/365)*180</f>
        <v>146.9072589</v>
      </c>
      <c r="AF170" s="81">
        <v>20252.84</v>
      </c>
      <c r="AG170" s="79">
        <v>0.0775</v>
      </c>
      <c r="AH170" s="80">
        <f t="shared" ref="AH170:AH171" si="57">((AF170*AG170)/365)*180</f>
        <v>774.0468986</v>
      </c>
      <c r="AI170" s="82">
        <f t="shared" ref="AI170:AI171" si="58">AC170+AF170</f>
        <v>24096.65</v>
      </c>
      <c r="AJ170" s="82">
        <f t="shared" si="7"/>
        <v>920.9541575</v>
      </c>
      <c r="AK170" s="83">
        <f t="shared" si="41"/>
        <v>920.9541575</v>
      </c>
      <c r="AL170" s="84">
        <f t="shared" si="42"/>
        <v>1132.574158</v>
      </c>
      <c r="AP170" s="85">
        <f t="shared" si="9"/>
        <v>1</v>
      </c>
      <c r="AQ170" s="20">
        <f t="shared" si="10"/>
        <v>1</v>
      </c>
      <c r="AR170" s="20">
        <f t="shared" si="11"/>
        <v>1</v>
      </c>
      <c r="AS170" s="86">
        <f t="shared" si="12"/>
        <v>13618.56</v>
      </c>
      <c r="AT170" s="87">
        <f t="shared" si="13"/>
        <v>24096.65</v>
      </c>
      <c r="AU170" s="88">
        <f t="shared" si="14"/>
        <v>3.033333333</v>
      </c>
      <c r="AV170" s="89" t="str">
        <f t="shared" si="15"/>
        <v>#VALUE!</v>
      </c>
      <c r="AW170" s="90" t="str">
        <f t="shared" si="16"/>
        <v>#VALUE!</v>
      </c>
      <c r="AY170" s="85">
        <f t="shared" si="17"/>
        <v>0</v>
      </c>
      <c r="AZ170" s="20">
        <f t="shared" si="18"/>
        <v>1</v>
      </c>
      <c r="BA170" s="20">
        <f t="shared" si="19"/>
        <v>0</v>
      </c>
      <c r="BB170" s="91">
        <f t="shared" si="20"/>
        <v>0</v>
      </c>
      <c r="BC170" s="87">
        <f t="shared" si="21"/>
        <v>0</v>
      </c>
      <c r="BD170" s="92">
        <f t="shared" si="22"/>
        <v>0</v>
      </c>
      <c r="BE170" s="89" t="str">
        <f t="shared" si="23"/>
        <v>#VALUE!</v>
      </c>
      <c r="BF170" s="90">
        <f t="shared" si="24"/>
        <v>0</v>
      </c>
      <c r="BH170" s="93">
        <f t="shared" si="25"/>
        <v>24096.65</v>
      </c>
      <c r="BI170" s="94">
        <f t="shared" si="26"/>
        <v>1</v>
      </c>
      <c r="BJ170" s="95" t="str">
        <f t="shared" si="27"/>
        <v>#VALUE!</v>
      </c>
      <c r="BK170" s="96" t="str">
        <f t="shared" si="28"/>
        <v>#VALUE!</v>
      </c>
      <c r="BM170" s="97">
        <f t="shared" si="29"/>
        <v>1</v>
      </c>
    </row>
    <row r="171" ht="12.75" customHeight="1">
      <c r="A171" s="65"/>
      <c r="B171" s="66" t="s">
        <v>356</v>
      </c>
      <c r="C171" s="67">
        <v>16200.0</v>
      </c>
      <c r="D171" s="68">
        <v>13.0</v>
      </c>
      <c r="E171" s="67">
        <v>13921.12</v>
      </c>
      <c r="F171" s="68" t="s">
        <v>56</v>
      </c>
      <c r="G171" s="69">
        <v>42702.0</v>
      </c>
      <c r="H171" s="71" t="s">
        <v>57</v>
      </c>
      <c r="I171" s="69">
        <v>42822.0</v>
      </c>
      <c r="J171" s="71">
        <f t="shared" si="1"/>
        <v>4</v>
      </c>
      <c r="K171" s="72" t="s">
        <v>181</v>
      </c>
      <c r="L171" s="72">
        <v>37000.0</v>
      </c>
      <c r="M171" s="73">
        <v>13.09</v>
      </c>
      <c r="N171" s="73">
        <v>5273.73</v>
      </c>
      <c r="O171" s="73">
        <v>2892.31</v>
      </c>
      <c r="P171" s="73">
        <f t="shared" si="43"/>
        <v>0</v>
      </c>
      <c r="Q171" s="73">
        <f t="shared" si="35"/>
        <v>0</v>
      </c>
      <c r="R171" s="74">
        <f t="shared" si="4"/>
        <v>0</v>
      </c>
      <c r="S171" s="74">
        <f t="shared" si="5"/>
        <v>1</v>
      </c>
      <c r="T171" s="75"/>
      <c r="V171" s="76">
        <v>6.75</v>
      </c>
      <c r="W171" s="77"/>
      <c r="X171" s="77">
        <v>0.47</v>
      </c>
      <c r="Y171" s="77"/>
      <c r="Z171" s="77">
        <f>2.39+6.01</f>
        <v>8.4</v>
      </c>
      <c r="AA171" s="77">
        <f>3.79+0.43</f>
        <v>4.22</v>
      </c>
      <c r="AB171" s="78">
        <f t="shared" si="38"/>
        <v>19.84</v>
      </c>
      <c r="AC171" s="77">
        <v>11487.18</v>
      </c>
      <c r="AD171" s="79">
        <v>0.065</v>
      </c>
      <c r="AE171" s="80">
        <f t="shared" si="56"/>
        <v>368.2191945</v>
      </c>
      <c r="AF171" s="81">
        <v>2433.94</v>
      </c>
      <c r="AG171" s="79">
        <v>0.07</v>
      </c>
      <c r="AH171" s="80">
        <f t="shared" si="57"/>
        <v>84.02094247</v>
      </c>
      <c r="AI171" s="82">
        <f t="shared" si="58"/>
        <v>13921.12</v>
      </c>
      <c r="AJ171" s="82">
        <f t="shared" si="7"/>
        <v>452.240137</v>
      </c>
      <c r="AK171" s="83">
        <f t="shared" si="41"/>
        <v>4.22</v>
      </c>
      <c r="AL171" s="84">
        <f t="shared" si="42"/>
        <v>13.09</v>
      </c>
      <c r="AP171" s="85">
        <f t="shared" si="9"/>
        <v>1</v>
      </c>
      <c r="AQ171" s="20">
        <f t="shared" si="10"/>
        <v>1</v>
      </c>
      <c r="AR171" s="20">
        <f t="shared" si="11"/>
        <v>1</v>
      </c>
      <c r="AS171" s="86">
        <f t="shared" si="12"/>
        <v>8166.04</v>
      </c>
      <c r="AT171" s="87">
        <f t="shared" si="13"/>
        <v>13921.12</v>
      </c>
      <c r="AU171" s="88">
        <f t="shared" si="14"/>
        <v>4</v>
      </c>
      <c r="AV171" s="89" t="str">
        <f t="shared" si="15"/>
        <v>#VALUE!</v>
      </c>
      <c r="AW171" s="90" t="str">
        <f t="shared" si="16"/>
        <v>#VALUE!</v>
      </c>
      <c r="AY171" s="85">
        <f t="shared" si="17"/>
        <v>0</v>
      </c>
      <c r="AZ171" s="20">
        <f t="shared" si="18"/>
        <v>1</v>
      </c>
      <c r="BA171" s="20">
        <f t="shared" si="19"/>
        <v>0</v>
      </c>
      <c r="BB171" s="91">
        <f t="shared" si="20"/>
        <v>0</v>
      </c>
      <c r="BC171" s="87">
        <f t="shared" si="21"/>
        <v>0</v>
      </c>
      <c r="BD171" s="92">
        <f t="shared" si="22"/>
        <v>0</v>
      </c>
      <c r="BE171" s="89" t="str">
        <f t="shared" si="23"/>
        <v>#VALUE!</v>
      </c>
      <c r="BF171" s="90">
        <f t="shared" si="24"/>
        <v>0</v>
      </c>
      <c r="BH171" s="93">
        <f t="shared" si="25"/>
        <v>13921.12</v>
      </c>
      <c r="BI171" s="94">
        <f t="shared" si="26"/>
        <v>1</v>
      </c>
      <c r="BJ171" s="95" t="str">
        <f t="shared" si="27"/>
        <v>#VALUE!</v>
      </c>
      <c r="BK171" s="96" t="str">
        <f t="shared" si="28"/>
        <v>#VALUE!</v>
      </c>
      <c r="BM171" s="97">
        <f t="shared" si="29"/>
        <v>1</v>
      </c>
    </row>
    <row r="172" ht="12.75" customHeight="1">
      <c r="A172" s="65"/>
      <c r="B172" s="66" t="s">
        <v>357</v>
      </c>
      <c r="C172" s="67">
        <v>34395.94</v>
      </c>
      <c r="D172" s="68">
        <v>13.0</v>
      </c>
      <c r="E172" s="67">
        <v>33780.8</v>
      </c>
      <c r="F172" s="68" t="s">
        <v>56</v>
      </c>
      <c r="G172" s="69">
        <v>42732.0</v>
      </c>
      <c r="H172" s="71" t="s">
        <v>57</v>
      </c>
      <c r="I172" s="69">
        <v>42763.0</v>
      </c>
      <c r="J172" s="71">
        <f t="shared" si="1"/>
        <v>1.033333333</v>
      </c>
      <c r="K172" s="72" t="s">
        <v>181</v>
      </c>
      <c r="L172" s="72">
        <v>42500.0</v>
      </c>
      <c r="M172" s="73">
        <v>5.33</v>
      </c>
      <c r="N172" s="73">
        <v>7737.090000000001</v>
      </c>
      <c r="O172" s="73">
        <v>4115.3</v>
      </c>
      <c r="P172" s="73">
        <f t="shared" si="43"/>
        <v>0</v>
      </c>
      <c r="Q172" s="73">
        <f t="shared" si="35"/>
        <v>3138.52</v>
      </c>
      <c r="R172" s="74">
        <f t="shared" si="4"/>
        <v>0.09290839767</v>
      </c>
      <c r="S172" s="74">
        <f t="shared" si="5"/>
        <v>0.9070916023</v>
      </c>
      <c r="T172" s="75"/>
      <c r="V172" s="76">
        <v>8.0</v>
      </c>
      <c r="W172" s="77"/>
      <c r="X172" s="77">
        <v>0.56</v>
      </c>
      <c r="Y172" s="77"/>
      <c r="Z172" s="77">
        <f>4.77</f>
        <v>4.77</v>
      </c>
      <c r="AA172" s="77">
        <v>0.0</v>
      </c>
      <c r="AB172" s="78">
        <f t="shared" si="38"/>
        <v>13.33</v>
      </c>
      <c r="AC172" s="77"/>
      <c r="AD172" s="79">
        <v>0.0</v>
      </c>
      <c r="AE172" s="80">
        <f t="shared" ref="AE172:AE176" si="59">((E172*AD172)/365)*180</f>
        <v>0</v>
      </c>
      <c r="AF172" s="81"/>
      <c r="AG172" s="79"/>
      <c r="AH172" s="80">
        <f t="shared" ref="AH172:AH176" si="60">((E172*AG172)/365)*180</f>
        <v>0</v>
      </c>
      <c r="AI172" s="82"/>
      <c r="AJ172" s="82">
        <f t="shared" si="7"/>
        <v>0</v>
      </c>
      <c r="AK172" s="83">
        <f t="shared" si="41"/>
        <v>0</v>
      </c>
      <c r="AL172" s="84">
        <f t="shared" si="42"/>
        <v>5.33</v>
      </c>
      <c r="AP172" s="85">
        <f t="shared" si="9"/>
        <v>1</v>
      </c>
      <c r="AQ172" s="20">
        <f t="shared" si="10"/>
        <v>1</v>
      </c>
      <c r="AR172" s="20">
        <f t="shared" si="11"/>
        <v>1</v>
      </c>
      <c r="AS172" s="86">
        <f t="shared" si="12"/>
        <v>11852.39</v>
      </c>
      <c r="AT172" s="87">
        <f t="shared" si="13"/>
        <v>33780.8</v>
      </c>
      <c r="AU172" s="88">
        <f t="shared" si="14"/>
        <v>1.033333333</v>
      </c>
      <c r="AV172" s="89" t="str">
        <f t="shared" si="15"/>
        <v>#VALUE!</v>
      </c>
      <c r="AW172" s="90" t="str">
        <f t="shared" si="16"/>
        <v>#VALUE!</v>
      </c>
      <c r="AY172" s="85">
        <f t="shared" si="17"/>
        <v>0</v>
      </c>
      <c r="AZ172" s="20">
        <f t="shared" si="18"/>
        <v>1</v>
      </c>
      <c r="BA172" s="20">
        <f t="shared" si="19"/>
        <v>0</v>
      </c>
      <c r="BB172" s="91">
        <f t="shared" si="20"/>
        <v>0</v>
      </c>
      <c r="BC172" s="87">
        <f t="shared" si="21"/>
        <v>0</v>
      </c>
      <c r="BD172" s="92">
        <f t="shared" si="22"/>
        <v>0</v>
      </c>
      <c r="BE172" s="89" t="str">
        <f t="shared" si="23"/>
        <v>#VALUE!</v>
      </c>
      <c r="BF172" s="90">
        <f t="shared" si="24"/>
        <v>0</v>
      </c>
      <c r="BH172" s="93">
        <f t="shared" si="25"/>
        <v>33780.8</v>
      </c>
      <c r="BI172" s="94">
        <f t="shared" si="26"/>
        <v>1</v>
      </c>
      <c r="BJ172" s="95" t="str">
        <f t="shared" si="27"/>
        <v>#VALUE!</v>
      </c>
      <c r="BK172" s="96" t="str">
        <f t="shared" si="28"/>
        <v>#VALUE!</v>
      </c>
      <c r="BM172" s="97">
        <f t="shared" si="29"/>
        <v>1</v>
      </c>
    </row>
    <row r="173" ht="12.75" customHeight="1">
      <c r="A173" s="65"/>
      <c r="B173" s="66" t="s">
        <v>358</v>
      </c>
      <c r="C173" s="67">
        <v>25300.0</v>
      </c>
      <c r="D173" s="68">
        <v>13.0</v>
      </c>
      <c r="E173" s="67">
        <v>24440.09</v>
      </c>
      <c r="F173" s="68" t="s">
        <v>56</v>
      </c>
      <c r="G173" s="69">
        <v>42732.0</v>
      </c>
      <c r="H173" s="71" t="s">
        <v>57</v>
      </c>
      <c r="I173" s="69">
        <v>42822.0</v>
      </c>
      <c r="J173" s="71">
        <f t="shared" si="1"/>
        <v>3</v>
      </c>
      <c r="K173" s="72" t="s">
        <v>181</v>
      </c>
      <c r="L173" s="72">
        <v>40000.0</v>
      </c>
      <c r="M173" s="73">
        <v>490.79999999999995</v>
      </c>
      <c r="N173" s="73">
        <v>3516.36</v>
      </c>
      <c r="O173" s="73">
        <v>2972.17</v>
      </c>
      <c r="P173" s="73">
        <f t="shared" si="43"/>
        <v>0</v>
      </c>
      <c r="Q173" s="73">
        <f t="shared" si="35"/>
        <v>0</v>
      </c>
      <c r="R173" s="74">
        <f t="shared" si="4"/>
        <v>0</v>
      </c>
      <c r="S173" s="74">
        <f t="shared" si="5"/>
        <v>1</v>
      </c>
      <c r="T173" s="75"/>
      <c r="V173" s="76">
        <v>320.0</v>
      </c>
      <c r="W173" s="77"/>
      <c r="X173" s="77">
        <v>22.4</v>
      </c>
      <c r="Y173" s="77"/>
      <c r="Z173" s="77">
        <f>159.6+159.6+149.2</f>
        <v>468.4</v>
      </c>
      <c r="AA173" s="77"/>
      <c r="AB173" s="78">
        <f t="shared" si="38"/>
        <v>810.8</v>
      </c>
      <c r="AC173" s="77"/>
      <c r="AD173" s="79">
        <v>0.0</v>
      </c>
      <c r="AE173" s="80">
        <f t="shared" si="59"/>
        <v>0</v>
      </c>
      <c r="AF173" s="81"/>
      <c r="AG173" s="79"/>
      <c r="AH173" s="80">
        <f t="shared" si="60"/>
        <v>0</v>
      </c>
      <c r="AI173" s="82"/>
      <c r="AJ173" s="82">
        <f t="shared" si="7"/>
        <v>0</v>
      </c>
      <c r="AK173" s="83" t="str">
        <f t="shared" si="41"/>
        <v/>
      </c>
      <c r="AL173" s="84">
        <f t="shared" si="42"/>
        <v>490.8</v>
      </c>
      <c r="AP173" s="85">
        <f t="shared" si="9"/>
        <v>1</v>
      </c>
      <c r="AQ173" s="20">
        <f t="shared" si="10"/>
        <v>1</v>
      </c>
      <c r="AR173" s="20">
        <f t="shared" si="11"/>
        <v>1</v>
      </c>
      <c r="AS173" s="86">
        <f t="shared" si="12"/>
        <v>6488.53</v>
      </c>
      <c r="AT173" s="87">
        <f t="shared" si="13"/>
        <v>24440.09</v>
      </c>
      <c r="AU173" s="88">
        <f t="shared" si="14"/>
        <v>3</v>
      </c>
      <c r="AV173" s="89" t="str">
        <f t="shared" si="15"/>
        <v>#VALUE!</v>
      </c>
      <c r="AW173" s="90" t="str">
        <f t="shared" si="16"/>
        <v>#VALUE!</v>
      </c>
      <c r="AY173" s="85">
        <f t="shared" si="17"/>
        <v>0</v>
      </c>
      <c r="AZ173" s="20">
        <f t="shared" si="18"/>
        <v>1</v>
      </c>
      <c r="BA173" s="20">
        <f t="shared" si="19"/>
        <v>0</v>
      </c>
      <c r="BB173" s="91">
        <f t="shared" si="20"/>
        <v>0</v>
      </c>
      <c r="BC173" s="87">
        <f t="shared" si="21"/>
        <v>0</v>
      </c>
      <c r="BD173" s="92">
        <f t="shared" si="22"/>
        <v>0</v>
      </c>
      <c r="BE173" s="89" t="str">
        <f t="shared" si="23"/>
        <v>#VALUE!</v>
      </c>
      <c r="BF173" s="90">
        <f t="shared" si="24"/>
        <v>0</v>
      </c>
      <c r="BH173" s="93">
        <f t="shared" si="25"/>
        <v>24440.09</v>
      </c>
      <c r="BI173" s="94">
        <f t="shared" si="26"/>
        <v>1</v>
      </c>
      <c r="BJ173" s="95" t="str">
        <f t="shared" si="27"/>
        <v>#VALUE!</v>
      </c>
      <c r="BK173" s="96" t="str">
        <f t="shared" si="28"/>
        <v>#VALUE!</v>
      </c>
      <c r="BM173" s="97">
        <f t="shared" si="29"/>
        <v>1</v>
      </c>
    </row>
    <row r="174" ht="12.75" customHeight="1">
      <c r="A174" s="65"/>
      <c r="B174" s="66" t="s">
        <v>359</v>
      </c>
      <c r="C174" s="67">
        <v>25300.0</v>
      </c>
      <c r="D174" s="68">
        <v>13.0</v>
      </c>
      <c r="E174" s="67">
        <v>23026.61</v>
      </c>
      <c r="F174" s="68" t="s">
        <v>56</v>
      </c>
      <c r="G174" s="69">
        <v>42732.0</v>
      </c>
      <c r="H174" s="71" t="s">
        <v>57</v>
      </c>
      <c r="I174" s="69">
        <v>43374.0</v>
      </c>
      <c r="J174" s="71">
        <f t="shared" si="1"/>
        <v>21.4</v>
      </c>
      <c r="K174" s="72" t="s">
        <v>360</v>
      </c>
      <c r="L174" s="72">
        <v>31084.87</v>
      </c>
      <c r="M174" s="73">
        <v>350.52</v>
      </c>
      <c r="N174" s="73">
        <v>4406.0</v>
      </c>
      <c r="O174" s="73">
        <v>2421.82</v>
      </c>
      <c r="P174" s="73">
        <f t="shared" si="43"/>
        <v>0</v>
      </c>
      <c r="Q174" s="73">
        <f t="shared" si="35"/>
        <v>0</v>
      </c>
      <c r="R174" s="74">
        <f t="shared" si="4"/>
        <v>0</v>
      </c>
      <c r="S174" s="74">
        <f t="shared" si="5"/>
        <v>1</v>
      </c>
      <c r="T174" s="75"/>
      <c r="V174" s="76">
        <v>184.0</v>
      </c>
      <c r="W174" s="77"/>
      <c r="X174" s="77">
        <v>12.88</v>
      </c>
      <c r="Y174" s="77"/>
      <c r="Z174" s="77">
        <f>86.94+158.93+91.77</f>
        <v>337.64</v>
      </c>
      <c r="AA174" s="77"/>
      <c r="AB174" s="78">
        <f t="shared" si="38"/>
        <v>534.52</v>
      </c>
      <c r="AC174" s="77"/>
      <c r="AD174" s="79">
        <v>0.0</v>
      </c>
      <c r="AE174" s="80">
        <f t="shared" si="59"/>
        <v>0</v>
      </c>
      <c r="AF174" s="81"/>
      <c r="AG174" s="79"/>
      <c r="AH174" s="80">
        <f t="shared" si="60"/>
        <v>0</v>
      </c>
      <c r="AI174" s="82"/>
      <c r="AJ174" s="82">
        <f t="shared" si="7"/>
        <v>0</v>
      </c>
      <c r="AK174" s="83" t="str">
        <f t="shared" si="41"/>
        <v/>
      </c>
      <c r="AL174" s="84">
        <f t="shared" si="42"/>
        <v>350.52</v>
      </c>
      <c r="AP174" s="85">
        <f t="shared" si="9"/>
        <v>1</v>
      </c>
      <c r="AQ174" s="20">
        <f t="shared" si="10"/>
        <v>1</v>
      </c>
      <c r="AR174" s="20">
        <f t="shared" si="11"/>
        <v>1</v>
      </c>
      <c r="AS174" s="86">
        <f t="shared" si="12"/>
        <v>6827.82</v>
      </c>
      <c r="AT174" s="87">
        <f t="shared" si="13"/>
        <v>23026.61</v>
      </c>
      <c r="AU174" s="88">
        <f t="shared" si="14"/>
        <v>21.4</v>
      </c>
      <c r="AV174" s="89" t="str">
        <f t="shared" si="15"/>
        <v>#VALUE!</v>
      </c>
      <c r="AW174" s="90" t="str">
        <f t="shared" si="16"/>
        <v>#VALUE!</v>
      </c>
      <c r="AY174" s="85">
        <f t="shared" si="17"/>
        <v>0</v>
      </c>
      <c r="AZ174" s="20">
        <f t="shared" si="18"/>
        <v>1</v>
      </c>
      <c r="BA174" s="20">
        <f t="shared" si="19"/>
        <v>0</v>
      </c>
      <c r="BB174" s="91">
        <f t="shared" si="20"/>
        <v>0</v>
      </c>
      <c r="BC174" s="87">
        <f t="shared" si="21"/>
        <v>0</v>
      </c>
      <c r="BD174" s="92">
        <f t="shared" si="22"/>
        <v>0</v>
      </c>
      <c r="BE174" s="89" t="str">
        <f t="shared" si="23"/>
        <v>#VALUE!</v>
      </c>
      <c r="BF174" s="90">
        <f t="shared" si="24"/>
        <v>0</v>
      </c>
      <c r="BH174" s="93">
        <f t="shared" si="25"/>
        <v>23026.61</v>
      </c>
      <c r="BI174" s="94">
        <f t="shared" si="26"/>
        <v>1</v>
      </c>
      <c r="BJ174" s="95" t="str">
        <f t="shared" si="27"/>
        <v>#VALUE!</v>
      </c>
      <c r="BK174" s="96" t="str">
        <f t="shared" si="28"/>
        <v>#VALUE!</v>
      </c>
      <c r="BM174" s="97">
        <f t="shared" si="29"/>
        <v>1</v>
      </c>
    </row>
    <row r="175" ht="12.75" customHeight="1">
      <c r="A175" s="65"/>
      <c r="B175" s="66" t="s">
        <v>361</v>
      </c>
      <c r="C175" s="67">
        <v>15003.09</v>
      </c>
      <c r="D175" s="68">
        <v>13.0</v>
      </c>
      <c r="E175" s="67">
        <v>10330.78</v>
      </c>
      <c r="F175" s="68" t="s">
        <v>56</v>
      </c>
      <c r="G175" s="69">
        <v>42883.0</v>
      </c>
      <c r="H175" s="71" t="s">
        <v>57</v>
      </c>
      <c r="I175" s="69">
        <v>43190.0</v>
      </c>
      <c r="J175" s="71">
        <f t="shared" si="1"/>
        <v>10.23333333</v>
      </c>
      <c r="K175" s="72" t="s">
        <v>362</v>
      </c>
      <c r="L175" s="72">
        <v>36500.0</v>
      </c>
      <c r="M175" s="73">
        <v>599.02</v>
      </c>
      <c r="N175" s="73">
        <v>2434.45</v>
      </c>
      <c r="O175" s="73">
        <v>4310.59</v>
      </c>
      <c r="P175" s="73">
        <f t="shared" si="43"/>
        <v>0</v>
      </c>
      <c r="Q175" s="73">
        <f t="shared" si="35"/>
        <v>0</v>
      </c>
      <c r="R175" s="74">
        <f t="shared" si="4"/>
        <v>0</v>
      </c>
      <c r="S175" s="74">
        <f t="shared" si="5"/>
        <v>1</v>
      </c>
      <c r="T175" s="75"/>
      <c r="V175" s="76">
        <v>309.69</v>
      </c>
      <c r="W175" s="77"/>
      <c r="X175" s="77">
        <v>21.68</v>
      </c>
      <c r="Y175" s="77"/>
      <c r="Z175" s="77">
        <f>67.23+136.62+55.08</f>
        <v>258.93</v>
      </c>
      <c r="AA175" s="77">
        <v>1432.87</v>
      </c>
      <c r="AB175" s="78">
        <f t="shared" si="38"/>
        <v>2023.17</v>
      </c>
      <c r="AC175" s="77"/>
      <c r="AD175" s="79">
        <v>0.0625</v>
      </c>
      <c r="AE175" s="80">
        <f t="shared" si="59"/>
        <v>318.4144521</v>
      </c>
      <c r="AF175" s="81"/>
      <c r="AG175" s="79"/>
      <c r="AH175" s="80">
        <f t="shared" si="60"/>
        <v>0</v>
      </c>
      <c r="AI175" s="82"/>
      <c r="AJ175" s="82">
        <f t="shared" si="7"/>
        <v>318.4144521</v>
      </c>
      <c r="AK175" s="83">
        <f t="shared" si="41"/>
        <v>318.4144521</v>
      </c>
      <c r="AL175" s="84">
        <f t="shared" si="42"/>
        <v>599.0244521</v>
      </c>
      <c r="AP175" s="85">
        <f t="shared" si="9"/>
        <v>1</v>
      </c>
      <c r="AQ175" s="20">
        <f t="shared" si="10"/>
        <v>1</v>
      </c>
      <c r="AR175" s="20">
        <f t="shared" si="11"/>
        <v>1</v>
      </c>
      <c r="AS175" s="86">
        <f t="shared" si="12"/>
        <v>6745.04</v>
      </c>
      <c r="AT175" s="87">
        <f t="shared" si="13"/>
        <v>10330.78</v>
      </c>
      <c r="AU175" s="88">
        <f t="shared" si="14"/>
        <v>10.23333333</v>
      </c>
      <c r="AV175" s="89" t="str">
        <f t="shared" si="15"/>
        <v>#VALUE!</v>
      </c>
      <c r="AW175" s="90" t="str">
        <f t="shared" si="16"/>
        <v>#VALUE!</v>
      </c>
      <c r="AY175" s="85">
        <f t="shared" si="17"/>
        <v>0</v>
      </c>
      <c r="AZ175" s="20">
        <f t="shared" si="18"/>
        <v>1</v>
      </c>
      <c r="BA175" s="20">
        <f t="shared" si="19"/>
        <v>0</v>
      </c>
      <c r="BB175" s="91">
        <f t="shared" si="20"/>
        <v>0</v>
      </c>
      <c r="BC175" s="87">
        <f t="shared" si="21"/>
        <v>0</v>
      </c>
      <c r="BD175" s="92">
        <f t="shared" si="22"/>
        <v>0</v>
      </c>
      <c r="BE175" s="89" t="str">
        <f t="shared" si="23"/>
        <v>#VALUE!</v>
      </c>
      <c r="BF175" s="90">
        <f t="shared" si="24"/>
        <v>0</v>
      </c>
      <c r="BH175" s="93">
        <f t="shared" si="25"/>
        <v>10330.78</v>
      </c>
      <c r="BI175" s="94">
        <f t="shared" si="26"/>
        <v>1</v>
      </c>
      <c r="BJ175" s="95" t="str">
        <f t="shared" si="27"/>
        <v>#VALUE!</v>
      </c>
      <c r="BK175" s="96" t="str">
        <f t="shared" si="28"/>
        <v>#VALUE!</v>
      </c>
      <c r="BM175" s="97">
        <f t="shared" si="29"/>
        <v>1</v>
      </c>
    </row>
    <row r="176" ht="12.75" customHeight="1">
      <c r="A176" s="65"/>
      <c r="B176" s="66" t="s">
        <v>363</v>
      </c>
      <c r="C176" s="67">
        <v>16569.47</v>
      </c>
      <c r="D176" s="68">
        <v>13.0</v>
      </c>
      <c r="E176" s="67">
        <v>12794.48</v>
      </c>
      <c r="F176" s="68" t="s">
        <v>56</v>
      </c>
      <c r="G176" s="69">
        <v>42914.0</v>
      </c>
      <c r="H176" s="71" t="s">
        <v>57</v>
      </c>
      <c r="I176" s="69">
        <v>42944.0</v>
      </c>
      <c r="J176" s="71">
        <f t="shared" si="1"/>
        <v>1</v>
      </c>
      <c r="K176" s="72" t="s">
        <v>364</v>
      </c>
      <c r="L176" s="72">
        <v>38000.0</v>
      </c>
      <c r="M176" s="73">
        <v>851.09</v>
      </c>
      <c r="N176" s="73">
        <v>3130.56</v>
      </c>
      <c r="O176" s="73">
        <v>3487.92</v>
      </c>
      <c r="P176" s="73">
        <f t="shared" si="43"/>
        <v>0</v>
      </c>
      <c r="Q176" s="73">
        <f t="shared" si="35"/>
        <v>0</v>
      </c>
      <c r="R176" s="74">
        <f t="shared" si="4"/>
        <v>0</v>
      </c>
      <c r="S176" s="74">
        <f t="shared" si="5"/>
        <v>1</v>
      </c>
      <c r="T176" s="75"/>
      <c r="V176" s="76">
        <v>189.75</v>
      </c>
      <c r="W176" s="77">
        <v>11.5</v>
      </c>
      <c r="X176" s="77">
        <v>14.09</v>
      </c>
      <c r="Y176" s="77"/>
      <c r="Z176" s="77">
        <f>51.75+296.47+67.16</f>
        <v>415.38</v>
      </c>
      <c r="AA176" s="77">
        <v>1961.47</v>
      </c>
      <c r="AB176" s="78">
        <f t="shared" si="38"/>
        <v>2592.19</v>
      </c>
      <c r="AC176" s="77"/>
      <c r="AD176" s="79">
        <v>0.065</v>
      </c>
      <c r="AE176" s="80">
        <f t="shared" si="59"/>
        <v>410.1244274</v>
      </c>
      <c r="AF176" s="81"/>
      <c r="AG176" s="79"/>
      <c r="AH176" s="80">
        <f t="shared" si="60"/>
        <v>0</v>
      </c>
      <c r="AI176" s="82"/>
      <c r="AJ176" s="82">
        <f t="shared" si="7"/>
        <v>410.1244274</v>
      </c>
      <c r="AK176" s="83">
        <f t="shared" si="41"/>
        <v>410.1244274</v>
      </c>
      <c r="AL176" s="84">
        <f t="shared" si="42"/>
        <v>851.0944274</v>
      </c>
      <c r="AP176" s="85">
        <f t="shared" si="9"/>
        <v>1</v>
      </c>
      <c r="AQ176" s="20">
        <f t="shared" si="10"/>
        <v>1</v>
      </c>
      <c r="AR176" s="20">
        <f t="shared" si="11"/>
        <v>1</v>
      </c>
      <c r="AS176" s="86">
        <f t="shared" si="12"/>
        <v>6618.48</v>
      </c>
      <c r="AT176" s="87">
        <f t="shared" si="13"/>
        <v>12794.48</v>
      </c>
      <c r="AU176" s="88">
        <f t="shared" si="14"/>
        <v>1</v>
      </c>
      <c r="AV176" s="89" t="str">
        <f t="shared" si="15"/>
        <v>#VALUE!</v>
      </c>
      <c r="AW176" s="90" t="str">
        <f t="shared" si="16"/>
        <v>#VALUE!</v>
      </c>
      <c r="AY176" s="85">
        <f t="shared" si="17"/>
        <v>0</v>
      </c>
      <c r="AZ176" s="20">
        <f t="shared" si="18"/>
        <v>1</v>
      </c>
      <c r="BA176" s="20">
        <f t="shared" si="19"/>
        <v>0</v>
      </c>
      <c r="BB176" s="91">
        <f t="shared" si="20"/>
        <v>0</v>
      </c>
      <c r="BC176" s="87">
        <f t="shared" si="21"/>
        <v>0</v>
      </c>
      <c r="BD176" s="92">
        <f t="shared" si="22"/>
        <v>0</v>
      </c>
      <c r="BE176" s="89" t="str">
        <f t="shared" si="23"/>
        <v>#VALUE!</v>
      </c>
      <c r="BF176" s="90">
        <f t="shared" si="24"/>
        <v>0</v>
      </c>
      <c r="BH176" s="93">
        <f t="shared" si="25"/>
        <v>12794.48</v>
      </c>
      <c r="BI176" s="94">
        <f t="shared" si="26"/>
        <v>1</v>
      </c>
      <c r="BJ176" s="95" t="str">
        <f t="shared" si="27"/>
        <v>#VALUE!</v>
      </c>
      <c r="BK176" s="96" t="str">
        <f t="shared" si="28"/>
        <v>#VALUE!</v>
      </c>
      <c r="BM176" s="97">
        <f t="shared" si="29"/>
        <v>1</v>
      </c>
    </row>
    <row r="177" ht="12.75" customHeight="1">
      <c r="A177" s="65"/>
      <c r="B177" s="66" t="s">
        <v>365</v>
      </c>
      <c r="C177" s="67">
        <v>24300.0</v>
      </c>
      <c r="D177" s="68">
        <v>13.0</v>
      </c>
      <c r="E177" s="67">
        <v>20908.19</v>
      </c>
      <c r="F177" s="68" t="s">
        <v>56</v>
      </c>
      <c r="G177" s="69">
        <v>42914.0</v>
      </c>
      <c r="H177" s="71" t="s">
        <v>57</v>
      </c>
      <c r="I177" s="69">
        <v>42948.0</v>
      </c>
      <c r="J177" s="71">
        <f t="shared" si="1"/>
        <v>1.133333333</v>
      </c>
      <c r="K177" s="72" t="s">
        <v>366</v>
      </c>
      <c r="L177" s="72">
        <v>55000.0</v>
      </c>
      <c r="M177" s="73">
        <v>1013.35</v>
      </c>
      <c r="N177" s="73">
        <v>3081.06</v>
      </c>
      <c r="O177" s="73">
        <v>105.0</v>
      </c>
      <c r="P177" s="73">
        <f t="shared" si="43"/>
        <v>0</v>
      </c>
      <c r="Q177" s="73">
        <f t="shared" si="35"/>
        <v>0</v>
      </c>
      <c r="R177" s="74">
        <f t="shared" si="4"/>
        <v>0</v>
      </c>
      <c r="S177" s="74">
        <f t="shared" si="5"/>
        <v>1</v>
      </c>
      <c r="T177" s="75"/>
      <c r="V177" s="76">
        <v>114.75</v>
      </c>
      <c r="W177" s="77"/>
      <c r="X177" s="77">
        <v>8.03</v>
      </c>
      <c r="Y177" s="77"/>
      <c r="Z177" s="77">
        <f>61.03+222.53</f>
        <v>283.56</v>
      </c>
      <c r="AA177" s="77">
        <f>1386.49+786.81</f>
        <v>2173.3</v>
      </c>
      <c r="AB177" s="78">
        <f t="shared" si="38"/>
        <v>2579.64</v>
      </c>
      <c r="AC177" s="77">
        <v>13338.69</v>
      </c>
      <c r="AD177" s="79">
        <v>0.07</v>
      </c>
      <c r="AE177" s="80">
        <f t="shared" ref="AE177:AE178" si="61">((AC177*AD177)/365)*180</f>
        <v>460.4588877</v>
      </c>
      <c r="AF177" s="81">
        <v>7569.5</v>
      </c>
      <c r="AG177" s="79">
        <v>0.07</v>
      </c>
      <c r="AH177" s="80">
        <f t="shared" ref="AH177:AH178" si="62">((AF177*AG177)/365)*180</f>
        <v>261.3032877</v>
      </c>
      <c r="AI177" s="82">
        <f t="shared" ref="AI177:AI178" si="63">AC177+AF177</f>
        <v>20908.19</v>
      </c>
      <c r="AJ177" s="82">
        <f t="shared" si="7"/>
        <v>721.7621753</v>
      </c>
      <c r="AK177" s="83">
        <f t="shared" si="41"/>
        <v>721.7621753</v>
      </c>
      <c r="AL177" s="84">
        <f t="shared" si="42"/>
        <v>1013.352175</v>
      </c>
      <c r="AP177" s="85">
        <f t="shared" si="9"/>
        <v>1</v>
      </c>
      <c r="AQ177" s="20">
        <f t="shared" si="10"/>
        <v>1</v>
      </c>
      <c r="AR177" s="20">
        <f t="shared" si="11"/>
        <v>1</v>
      </c>
      <c r="AS177" s="86">
        <f t="shared" si="12"/>
        <v>3186.06</v>
      </c>
      <c r="AT177" s="87">
        <f t="shared" si="13"/>
        <v>20908.19</v>
      </c>
      <c r="AU177" s="88">
        <f t="shared" si="14"/>
        <v>1.133333333</v>
      </c>
      <c r="AV177" s="89" t="str">
        <f t="shared" si="15"/>
        <v>#VALUE!</v>
      </c>
      <c r="AW177" s="90" t="str">
        <f t="shared" si="16"/>
        <v>#VALUE!</v>
      </c>
      <c r="AY177" s="85">
        <f t="shared" si="17"/>
        <v>0</v>
      </c>
      <c r="AZ177" s="20">
        <f t="shared" si="18"/>
        <v>1</v>
      </c>
      <c r="BA177" s="20">
        <f t="shared" si="19"/>
        <v>0</v>
      </c>
      <c r="BB177" s="91">
        <f t="shared" si="20"/>
        <v>0</v>
      </c>
      <c r="BC177" s="87">
        <f t="shared" si="21"/>
        <v>0</v>
      </c>
      <c r="BD177" s="92">
        <f t="shared" si="22"/>
        <v>0</v>
      </c>
      <c r="BE177" s="89" t="str">
        <f t="shared" si="23"/>
        <v>#VALUE!</v>
      </c>
      <c r="BF177" s="90">
        <f t="shared" si="24"/>
        <v>0</v>
      </c>
      <c r="BH177" s="93">
        <f t="shared" si="25"/>
        <v>20908.19</v>
      </c>
      <c r="BI177" s="94">
        <f t="shared" si="26"/>
        <v>1</v>
      </c>
      <c r="BJ177" s="95" t="str">
        <f t="shared" si="27"/>
        <v>#VALUE!</v>
      </c>
      <c r="BK177" s="96" t="str">
        <f t="shared" si="28"/>
        <v>#VALUE!</v>
      </c>
      <c r="BM177" s="97">
        <f t="shared" si="29"/>
        <v>1</v>
      </c>
    </row>
    <row r="178" ht="12.75" customHeight="1">
      <c r="A178" s="65"/>
      <c r="B178" s="66" t="s">
        <v>367</v>
      </c>
      <c r="C178" s="67">
        <v>19000.0</v>
      </c>
      <c r="D178" s="68">
        <v>13.0</v>
      </c>
      <c r="E178" s="67">
        <v>16687.12</v>
      </c>
      <c r="F178" s="68" t="s">
        <v>56</v>
      </c>
      <c r="G178" s="69">
        <v>42914.0</v>
      </c>
      <c r="H178" s="71" t="s">
        <v>57</v>
      </c>
      <c r="I178" s="69">
        <v>42978.0</v>
      </c>
      <c r="J178" s="71">
        <f t="shared" si="1"/>
        <v>2.133333333</v>
      </c>
      <c r="K178" s="72" t="s">
        <v>368</v>
      </c>
      <c r="L178" s="72">
        <v>45000.0</v>
      </c>
      <c r="M178" s="73">
        <v>923.09</v>
      </c>
      <c r="N178" s="73">
        <v>2860.96</v>
      </c>
      <c r="O178" s="73">
        <v>3094.56</v>
      </c>
      <c r="P178" s="73">
        <f t="shared" si="43"/>
        <v>0</v>
      </c>
      <c r="Q178" s="73">
        <f t="shared" si="35"/>
        <v>0</v>
      </c>
      <c r="R178" s="74">
        <f t="shared" si="4"/>
        <v>0</v>
      </c>
      <c r="S178" s="74">
        <f t="shared" si="5"/>
        <v>1</v>
      </c>
      <c r="T178" s="75"/>
      <c r="V178" s="76">
        <v>108.0</v>
      </c>
      <c r="W178" s="77"/>
      <c r="X178" s="77">
        <v>7.56</v>
      </c>
      <c r="Y178" s="77">
        <v>84.6</v>
      </c>
      <c r="Z178" s="77">
        <f>47.88+88.02+40.14+30.24+27.72</f>
        <v>234</v>
      </c>
      <c r="AA178" s="77">
        <f>1215.58+697.09</f>
        <v>1912.67</v>
      </c>
      <c r="AB178" s="78">
        <f t="shared" si="38"/>
        <v>2346.83</v>
      </c>
      <c r="AC178" s="77">
        <v>11041.74</v>
      </c>
      <c r="AD178" s="79">
        <v>0.07</v>
      </c>
      <c r="AE178" s="80">
        <f t="shared" si="61"/>
        <v>381.1669151</v>
      </c>
      <c r="AF178" s="81">
        <v>5645.38</v>
      </c>
      <c r="AG178" s="79">
        <v>0.0775</v>
      </c>
      <c r="AH178" s="80">
        <f t="shared" si="62"/>
        <v>215.7617836</v>
      </c>
      <c r="AI178" s="82">
        <f t="shared" si="63"/>
        <v>16687.12</v>
      </c>
      <c r="AJ178" s="82">
        <f t="shared" si="7"/>
        <v>596.9286986</v>
      </c>
      <c r="AK178" s="83">
        <f t="shared" si="41"/>
        <v>596.9286986</v>
      </c>
      <c r="AL178" s="84">
        <f t="shared" si="42"/>
        <v>923.0886986</v>
      </c>
      <c r="AP178" s="85">
        <f t="shared" si="9"/>
        <v>1</v>
      </c>
      <c r="AQ178" s="20">
        <f t="shared" si="10"/>
        <v>1</v>
      </c>
      <c r="AR178" s="20">
        <f t="shared" si="11"/>
        <v>1</v>
      </c>
      <c r="AS178" s="86">
        <f t="shared" si="12"/>
        <v>5955.52</v>
      </c>
      <c r="AT178" s="87">
        <f t="shared" si="13"/>
        <v>16687.12</v>
      </c>
      <c r="AU178" s="88">
        <f t="shared" si="14"/>
        <v>2.133333333</v>
      </c>
      <c r="AV178" s="89" t="str">
        <f t="shared" si="15"/>
        <v>#VALUE!</v>
      </c>
      <c r="AW178" s="90" t="str">
        <f t="shared" si="16"/>
        <v>#VALUE!</v>
      </c>
      <c r="AY178" s="85">
        <f t="shared" si="17"/>
        <v>0</v>
      </c>
      <c r="AZ178" s="20">
        <f t="shared" si="18"/>
        <v>1</v>
      </c>
      <c r="BA178" s="20">
        <f t="shared" si="19"/>
        <v>0</v>
      </c>
      <c r="BB178" s="91">
        <f t="shared" si="20"/>
        <v>0</v>
      </c>
      <c r="BC178" s="87">
        <f t="shared" si="21"/>
        <v>0</v>
      </c>
      <c r="BD178" s="92">
        <f t="shared" si="22"/>
        <v>0</v>
      </c>
      <c r="BE178" s="89" t="str">
        <f t="shared" si="23"/>
        <v>#VALUE!</v>
      </c>
      <c r="BF178" s="90">
        <f t="shared" si="24"/>
        <v>0</v>
      </c>
      <c r="BH178" s="93">
        <f t="shared" si="25"/>
        <v>16687.12</v>
      </c>
      <c r="BI178" s="94">
        <f t="shared" si="26"/>
        <v>1</v>
      </c>
      <c r="BJ178" s="95" t="str">
        <f t="shared" si="27"/>
        <v>#VALUE!</v>
      </c>
      <c r="BK178" s="96" t="str">
        <f t="shared" si="28"/>
        <v>#VALUE!</v>
      </c>
      <c r="BM178" s="97">
        <f t="shared" si="29"/>
        <v>1</v>
      </c>
    </row>
    <row r="179" ht="12.75" customHeight="1">
      <c r="A179" s="65"/>
      <c r="B179" s="66" t="s">
        <v>369</v>
      </c>
      <c r="C179" s="67">
        <v>23560.0</v>
      </c>
      <c r="D179" s="68">
        <v>13.0</v>
      </c>
      <c r="E179" s="67">
        <v>19344.67</v>
      </c>
      <c r="F179" s="68" t="s">
        <v>64</v>
      </c>
      <c r="G179" s="69">
        <v>42948.0</v>
      </c>
      <c r="H179" s="71" t="s">
        <v>57</v>
      </c>
      <c r="I179" s="69">
        <v>43006.0</v>
      </c>
      <c r="J179" s="71">
        <f t="shared" si="1"/>
        <v>1.933333333</v>
      </c>
      <c r="K179" s="72" t="s">
        <v>370</v>
      </c>
      <c r="L179" s="72">
        <v>52000.0</v>
      </c>
      <c r="M179" s="73">
        <v>1104.22</v>
      </c>
      <c r="N179" s="73">
        <v>8315.11</v>
      </c>
      <c r="O179" s="73">
        <v>3175.76</v>
      </c>
      <c r="P179" s="73">
        <f t="shared" si="43"/>
        <v>0</v>
      </c>
      <c r="Q179" s="73">
        <f t="shared" si="35"/>
        <v>0</v>
      </c>
      <c r="R179" s="74">
        <f t="shared" si="4"/>
        <v>0</v>
      </c>
      <c r="S179" s="74">
        <f t="shared" si="5"/>
        <v>1</v>
      </c>
      <c r="T179" s="75"/>
      <c r="V179" s="76">
        <v>352.8</v>
      </c>
      <c r="W179" s="77"/>
      <c r="X179" s="77">
        <v>24.7</v>
      </c>
      <c r="Y179" s="77"/>
      <c r="Z179" s="77">
        <f>138.6+562.8+187.32</f>
        <v>888.72</v>
      </c>
      <c r="AA179" s="77">
        <v>2458.1</v>
      </c>
      <c r="AB179" s="78">
        <f t="shared" si="38"/>
        <v>3724.32</v>
      </c>
      <c r="AC179" s="77"/>
      <c r="AD179" s="79">
        <v>0.02</v>
      </c>
      <c r="AE179" s="80">
        <f t="shared" ref="AE179:AE190" si="64">((E179*AD179)/365)*180</f>
        <v>190.7967452</v>
      </c>
      <c r="AF179" s="81"/>
      <c r="AG179" s="79"/>
      <c r="AH179" s="80">
        <f t="shared" ref="AH179:AH190" si="65">((E179*AG179)/365)*180</f>
        <v>0</v>
      </c>
      <c r="AI179" s="82"/>
      <c r="AJ179" s="82">
        <f t="shared" si="7"/>
        <v>190.7967452</v>
      </c>
      <c r="AK179" s="83">
        <f t="shared" si="41"/>
        <v>190.7967452</v>
      </c>
      <c r="AL179" s="84">
        <f t="shared" si="42"/>
        <v>1104.216745</v>
      </c>
      <c r="AP179" s="85">
        <f t="shared" si="9"/>
        <v>0</v>
      </c>
      <c r="AQ179" s="20">
        <f t="shared" si="10"/>
        <v>1</v>
      </c>
      <c r="AR179" s="20">
        <f t="shared" si="11"/>
        <v>0</v>
      </c>
      <c r="AS179" s="86">
        <f t="shared" si="12"/>
        <v>0</v>
      </c>
      <c r="AT179" s="87">
        <f t="shared" si="13"/>
        <v>0</v>
      </c>
      <c r="AU179" s="88">
        <f t="shared" si="14"/>
        <v>0</v>
      </c>
      <c r="AV179" s="89" t="str">
        <f t="shared" si="15"/>
        <v>#VALUE!</v>
      </c>
      <c r="AW179" s="90">
        <f t="shared" si="16"/>
        <v>0</v>
      </c>
      <c r="AY179" s="85">
        <f t="shared" si="17"/>
        <v>1</v>
      </c>
      <c r="AZ179" s="20">
        <f t="shared" si="18"/>
        <v>1</v>
      </c>
      <c r="BA179" s="20">
        <f t="shared" si="19"/>
        <v>1</v>
      </c>
      <c r="BB179" s="91">
        <f t="shared" si="20"/>
        <v>11490.87</v>
      </c>
      <c r="BC179" s="87">
        <f t="shared" si="21"/>
        <v>19344.67</v>
      </c>
      <c r="BD179" s="92">
        <f t="shared" si="22"/>
        <v>1.933333333</v>
      </c>
      <c r="BE179" s="89" t="str">
        <f t="shared" si="23"/>
        <v>#VALUE!</v>
      </c>
      <c r="BF179" s="90" t="str">
        <f t="shared" si="24"/>
        <v>#VALUE!</v>
      </c>
      <c r="BH179" s="93">
        <f t="shared" si="25"/>
        <v>19344.67</v>
      </c>
      <c r="BI179" s="94">
        <f t="shared" si="26"/>
        <v>1</v>
      </c>
      <c r="BJ179" s="95" t="str">
        <f t="shared" si="27"/>
        <v>#VALUE!</v>
      </c>
      <c r="BK179" s="96" t="str">
        <f t="shared" si="28"/>
        <v>#VALUE!</v>
      </c>
      <c r="BM179" s="97">
        <f t="shared" si="29"/>
        <v>1</v>
      </c>
    </row>
    <row r="180" ht="12.75" customHeight="1">
      <c r="A180" s="65"/>
      <c r="B180" s="66" t="s">
        <v>371</v>
      </c>
      <c r="C180" s="67">
        <v>34155.0</v>
      </c>
      <c r="D180" s="68">
        <v>13.0</v>
      </c>
      <c r="E180" s="67">
        <v>26259.55</v>
      </c>
      <c r="F180" s="68" t="s">
        <v>56</v>
      </c>
      <c r="G180" s="69">
        <v>42979.0</v>
      </c>
      <c r="H180" s="71" t="s">
        <v>57</v>
      </c>
      <c r="I180" s="69">
        <v>43067.0</v>
      </c>
      <c r="J180" s="71">
        <f t="shared" si="1"/>
        <v>2.933333333</v>
      </c>
      <c r="K180" s="72" t="s">
        <v>372</v>
      </c>
      <c r="L180" s="72">
        <v>90000.0</v>
      </c>
      <c r="M180" s="73">
        <v>1523.14</v>
      </c>
      <c r="N180" s="73">
        <v>4009.56</v>
      </c>
      <c r="O180" s="73">
        <v>5211.91</v>
      </c>
      <c r="P180" s="73">
        <f t="shared" si="43"/>
        <v>0</v>
      </c>
      <c r="Q180" s="73">
        <f t="shared" si="35"/>
        <v>0</v>
      </c>
      <c r="R180" s="74">
        <f t="shared" si="4"/>
        <v>0</v>
      </c>
      <c r="S180" s="74">
        <f t="shared" si="5"/>
        <v>1</v>
      </c>
      <c r="T180" s="75"/>
      <c r="V180" s="76">
        <v>195.35</v>
      </c>
      <c r="W180" s="77">
        <v>71.19</v>
      </c>
      <c r="X180" s="77">
        <v>18.65</v>
      </c>
      <c r="Y180" s="77"/>
      <c r="Z180" s="77">
        <f>105.57+351.44+134.55</f>
        <v>591.56</v>
      </c>
      <c r="AA180" s="77">
        <v>3860.15</v>
      </c>
      <c r="AB180" s="78">
        <f t="shared" si="38"/>
        <v>4736.9</v>
      </c>
      <c r="AC180" s="77"/>
      <c r="AD180" s="79">
        <v>0.065</v>
      </c>
      <c r="AE180" s="80">
        <f t="shared" si="64"/>
        <v>841.7444795</v>
      </c>
      <c r="AF180" s="81"/>
      <c r="AG180" s="79"/>
      <c r="AH180" s="80">
        <f t="shared" si="65"/>
        <v>0</v>
      </c>
      <c r="AI180" s="82"/>
      <c r="AJ180" s="82">
        <f t="shared" si="7"/>
        <v>841.7444795</v>
      </c>
      <c r="AK180" s="83">
        <f t="shared" si="41"/>
        <v>841.7444795</v>
      </c>
      <c r="AL180" s="84">
        <f t="shared" si="42"/>
        <v>1523.144479</v>
      </c>
      <c r="AP180" s="85">
        <f t="shared" si="9"/>
        <v>1</v>
      </c>
      <c r="AQ180" s="20">
        <f t="shared" si="10"/>
        <v>1</v>
      </c>
      <c r="AR180" s="20">
        <f t="shared" si="11"/>
        <v>1</v>
      </c>
      <c r="AS180" s="86">
        <f t="shared" si="12"/>
        <v>9221.47</v>
      </c>
      <c r="AT180" s="87">
        <f t="shared" si="13"/>
        <v>26259.55</v>
      </c>
      <c r="AU180" s="88">
        <f t="shared" si="14"/>
        <v>2.933333333</v>
      </c>
      <c r="AV180" s="89" t="str">
        <f t="shared" si="15"/>
        <v>#VALUE!</v>
      </c>
      <c r="AW180" s="90" t="str">
        <f t="shared" si="16"/>
        <v>#VALUE!</v>
      </c>
      <c r="AY180" s="85">
        <f t="shared" si="17"/>
        <v>0</v>
      </c>
      <c r="AZ180" s="20">
        <f t="shared" si="18"/>
        <v>1</v>
      </c>
      <c r="BA180" s="20">
        <f t="shared" si="19"/>
        <v>0</v>
      </c>
      <c r="BB180" s="91">
        <f t="shared" si="20"/>
        <v>0</v>
      </c>
      <c r="BC180" s="87">
        <f t="shared" si="21"/>
        <v>0</v>
      </c>
      <c r="BD180" s="92">
        <f t="shared" si="22"/>
        <v>0</v>
      </c>
      <c r="BE180" s="89" t="str">
        <f t="shared" si="23"/>
        <v>#VALUE!</v>
      </c>
      <c r="BF180" s="90">
        <f t="shared" si="24"/>
        <v>0</v>
      </c>
      <c r="BH180" s="93">
        <f t="shared" si="25"/>
        <v>26259.55</v>
      </c>
      <c r="BI180" s="94">
        <f t="shared" si="26"/>
        <v>1</v>
      </c>
      <c r="BJ180" s="95" t="str">
        <f t="shared" si="27"/>
        <v>#VALUE!</v>
      </c>
      <c r="BK180" s="96" t="str">
        <f t="shared" si="28"/>
        <v>#VALUE!</v>
      </c>
      <c r="BM180" s="97">
        <f t="shared" si="29"/>
        <v>1</v>
      </c>
    </row>
    <row r="181" ht="12.75" customHeight="1">
      <c r="A181" s="65"/>
      <c r="B181" s="66" t="s">
        <v>373</v>
      </c>
      <c r="C181" s="67">
        <v>25634.2</v>
      </c>
      <c r="D181" s="68">
        <v>13.0</v>
      </c>
      <c r="E181" s="67">
        <v>21177.5</v>
      </c>
      <c r="F181" s="68" t="s">
        <v>56</v>
      </c>
      <c r="G181" s="69">
        <v>42979.0</v>
      </c>
      <c r="H181" s="71" t="s">
        <v>57</v>
      </c>
      <c r="I181" s="69">
        <v>43070.0</v>
      </c>
      <c r="J181" s="71">
        <f t="shared" si="1"/>
        <v>3.033333333</v>
      </c>
      <c r="K181" s="72" t="s">
        <v>374</v>
      </c>
      <c r="L181" s="72">
        <v>36000.0</v>
      </c>
      <c r="M181" s="73">
        <v>644.1</v>
      </c>
      <c r="N181" s="73">
        <v>1880.0</v>
      </c>
      <c r="O181" s="73">
        <v>3405.13</v>
      </c>
      <c r="P181" s="73">
        <f t="shared" si="43"/>
        <v>0</v>
      </c>
      <c r="Q181" s="73">
        <f t="shared" si="35"/>
        <v>0</v>
      </c>
      <c r="R181" s="74">
        <f t="shared" si="4"/>
        <v>0</v>
      </c>
      <c r="S181" s="74">
        <f t="shared" si="5"/>
        <v>1</v>
      </c>
      <c r="T181" s="75"/>
      <c r="V181" s="76">
        <v>239.25</v>
      </c>
      <c r="W181" s="77"/>
      <c r="X181" s="77">
        <v>16.75</v>
      </c>
      <c r="Y181" s="77"/>
      <c r="Z181" s="77">
        <f>98.89+167.91+125.57</f>
        <v>392.37</v>
      </c>
      <c r="AA181" s="77">
        <v>1165.78</v>
      </c>
      <c r="AB181" s="78">
        <f t="shared" si="38"/>
        <v>1814.15</v>
      </c>
      <c r="AC181" s="77"/>
      <c r="AD181" s="79">
        <v>0.0225</v>
      </c>
      <c r="AE181" s="80">
        <f t="shared" si="64"/>
        <v>234.9832192</v>
      </c>
      <c r="AF181" s="81"/>
      <c r="AG181" s="79"/>
      <c r="AH181" s="80">
        <f t="shared" si="65"/>
        <v>0</v>
      </c>
      <c r="AI181" s="82"/>
      <c r="AJ181" s="82">
        <f t="shared" si="7"/>
        <v>234.9832192</v>
      </c>
      <c r="AK181" s="83">
        <f t="shared" si="41"/>
        <v>234.9832192</v>
      </c>
      <c r="AL181" s="84">
        <f t="shared" si="42"/>
        <v>644.1032192</v>
      </c>
      <c r="AP181" s="85">
        <f t="shared" si="9"/>
        <v>1</v>
      </c>
      <c r="AQ181" s="20">
        <f t="shared" si="10"/>
        <v>1</v>
      </c>
      <c r="AR181" s="20">
        <f t="shared" si="11"/>
        <v>1</v>
      </c>
      <c r="AS181" s="86">
        <f t="shared" si="12"/>
        <v>5285.13</v>
      </c>
      <c r="AT181" s="87">
        <f t="shared" si="13"/>
        <v>21177.5</v>
      </c>
      <c r="AU181" s="88">
        <f t="shared" si="14"/>
        <v>3.033333333</v>
      </c>
      <c r="AV181" s="89" t="str">
        <f t="shared" si="15"/>
        <v>#VALUE!</v>
      </c>
      <c r="AW181" s="90" t="str">
        <f t="shared" si="16"/>
        <v>#VALUE!</v>
      </c>
      <c r="AY181" s="85">
        <f t="shared" si="17"/>
        <v>0</v>
      </c>
      <c r="AZ181" s="20">
        <f t="shared" si="18"/>
        <v>1</v>
      </c>
      <c r="BA181" s="20">
        <f t="shared" si="19"/>
        <v>0</v>
      </c>
      <c r="BB181" s="91">
        <f t="shared" si="20"/>
        <v>0</v>
      </c>
      <c r="BC181" s="87">
        <f t="shared" si="21"/>
        <v>0</v>
      </c>
      <c r="BD181" s="92">
        <f t="shared" si="22"/>
        <v>0</v>
      </c>
      <c r="BE181" s="89" t="str">
        <f t="shared" si="23"/>
        <v>#VALUE!</v>
      </c>
      <c r="BF181" s="90">
        <f t="shared" si="24"/>
        <v>0</v>
      </c>
      <c r="BH181" s="93">
        <f t="shared" si="25"/>
        <v>21177.5</v>
      </c>
      <c r="BI181" s="94">
        <f t="shared" si="26"/>
        <v>1</v>
      </c>
      <c r="BJ181" s="95" t="str">
        <f t="shared" si="27"/>
        <v>#VALUE!</v>
      </c>
      <c r="BK181" s="96" t="str">
        <f t="shared" si="28"/>
        <v>#VALUE!</v>
      </c>
      <c r="BM181" s="97">
        <f t="shared" si="29"/>
        <v>1</v>
      </c>
    </row>
    <row r="182" ht="12.75" customHeight="1">
      <c r="A182" s="65"/>
      <c r="B182" s="66" t="s">
        <v>375</v>
      </c>
      <c r="C182" s="67">
        <v>21517.65</v>
      </c>
      <c r="D182" s="68">
        <v>13.0</v>
      </c>
      <c r="E182" s="67">
        <v>16566.02</v>
      </c>
      <c r="F182" s="68" t="s">
        <v>56</v>
      </c>
      <c r="G182" s="69">
        <v>43009.0</v>
      </c>
      <c r="H182" s="71" t="s">
        <v>57</v>
      </c>
      <c r="I182" s="69">
        <v>43070.0</v>
      </c>
      <c r="J182" s="71">
        <f t="shared" si="1"/>
        <v>2.033333333</v>
      </c>
      <c r="K182" s="72" t="s">
        <v>376</v>
      </c>
      <c r="L182" s="72">
        <v>50000.0</v>
      </c>
      <c r="M182" s="73">
        <v>534.01</v>
      </c>
      <c r="N182" s="73">
        <v>9042.46</v>
      </c>
      <c r="O182" s="73">
        <v>3307.16</v>
      </c>
      <c r="P182" s="73">
        <f t="shared" si="43"/>
        <v>0</v>
      </c>
      <c r="Q182" s="73">
        <f t="shared" si="35"/>
        <v>0</v>
      </c>
      <c r="R182" s="74">
        <f t="shared" si="4"/>
        <v>0</v>
      </c>
      <c r="S182" s="74">
        <f t="shared" si="5"/>
        <v>1</v>
      </c>
      <c r="T182" s="75"/>
      <c r="V182" s="76">
        <v>42.78</v>
      </c>
      <c r="W182" s="77"/>
      <c r="X182" s="77">
        <v>2.99</v>
      </c>
      <c r="Y182" s="77"/>
      <c r="Z182" s="77"/>
      <c r="AA182" s="77">
        <v>1911.46</v>
      </c>
      <c r="AB182" s="78">
        <f t="shared" si="38"/>
        <v>1957.23</v>
      </c>
      <c r="AC182" s="77"/>
      <c r="AD182" s="79">
        <v>0.065</v>
      </c>
      <c r="AE182" s="80">
        <f t="shared" si="64"/>
        <v>531.0203671</v>
      </c>
      <c r="AF182" s="81"/>
      <c r="AG182" s="79"/>
      <c r="AH182" s="80">
        <f t="shared" si="65"/>
        <v>0</v>
      </c>
      <c r="AI182" s="82"/>
      <c r="AJ182" s="82">
        <f t="shared" si="7"/>
        <v>531.0203671</v>
      </c>
      <c r="AK182" s="83">
        <f t="shared" si="41"/>
        <v>531.0203671</v>
      </c>
      <c r="AL182" s="84">
        <f t="shared" si="42"/>
        <v>534.0103671</v>
      </c>
      <c r="AP182" s="85">
        <f t="shared" si="9"/>
        <v>1</v>
      </c>
      <c r="AQ182" s="20">
        <f t="shared" si="10"/>
        <v>1</v>
      </c>
      <c r="AR182" s="20">
        <f t="shared" si="11"/>
        <v>1</v>
      </c>
      <c r="AS182" s="86">
        <f t="shared" si="12"/>
        <v>12349.62</v>
      </c>
      <c r="AT182" s="87">
        <f t="shared" si="13"/>
        <v>16566.02</v>
      </c>
      <c r="AU182" s="88">
        <f t="shared" si="14"/>
        <v>2.033333333</v>
      </c>
      <c r="AV182" s="89" t="str">
        <f t="shared" si="15"/>
        <v>#VALUE!</v>
      </c>
      <c r="AW182" s="90" t="str">
        <f t="shared" si="16"/>
        <v>#VALUE!</v>
      </c>
      <c r="AY182" s="85">
        <f t="shared" si="17"/>
        <v>0</v>
      </c>
      <c r="AZ182" s="20">
        <f t="shared" si="18"/>
        <v>1</v>
      </c>
      <c r="BA182" s="20">
        <f t="shared" si="19"/>
        <v>0</v>
      </c>
      <c r="BB182" s="91">
        <f t="shared" si="20"/>
        <v>0</v>
      </c>
      <c r="BC182" s="87">
        <f t="shared" si="21"/>
        <v>0</v>
      </c>
      <c r="BD182" s="92">
        <f t="shared" si="22"/>
        <v>0</v>
      </c>
      <c r="BE182" s="89" t="str">
        <f t="shared" si="23"/>
        <v>#VALUE!</v>
      </c>
      <c r="BF182" s="90">
        <f t="shared" si="24"/>
        <v>0</v>
      </c>
      <c r="BH182" s="93">
        <f t="shared" si="25"/>
        <v>16566.02</v>
      </c>
      <c r="BI182" s="94">
        <f t="shared" si="26"/>
        <v>1</v>
      </c>
      <c r="BJ182" s="95" t="str">
        <f t="shared" si="27"/>
        <v>#VALUE!</v>
      </c>
      <c r="BK182" s="96" t="str">
        <f t="shared" si="28"/>
        <v>#VALUE!</v>
      </c>
      <c r="BM182" s="97">
        <f t="shared" si="29"/>
        <v>1</v>
      </c>
    </row>
    <row r="183" ht="12.75" customHeight="1">
      <c r="A183" s="65"/>
      <c r="B183" s="66" t="s">
        <v>377</v>
      </c>
      <c r="C183" s="67">
        <v>36770.21</v>
      </c>
      <c r="D183" s="68">
        <v>13.0</v>
      </c>
      <c r="E183" s="67">
        <v>32180.48</v>
      </c>
      <c r="F183" s="68" t="s">
        <v>56</v>
      </c>
      <c r="G183" s="69">
        <v>43009.0</v>
      </c>
      <c r="H183" s="71" t="s">
        <v>57</v>
      </c>
      <c r="I183" s="69">
        <v>43070.0</v>
      </c>
      <c r="J183" s="71">
        <f t="shared" si="1"/>
        <v>2.033333333</v>
      </c>
      <c r="K183" s="72" t="s">
        <v>378</v>
      </c>
      <c r="L183" s="72">
        <v>48000.0</v>
      </c>
      <c r="M183" s="73">
        <v>766.89</v>
      </c>
      <c r="N183" s="73">
        <v>7017.7</v>
      </c>
      <c r="O183" s="73">
        <v>3084.56</v>
      </c>
      <c r="P183" s="73">
        <f t="shared" si="43"/>
        <v>0</v>
      </c>
      <c r="Q183" s="73">
        <f t="shared" si="35"/>
        <v>0</v>
      </c>
      <c r="R183" s="74">
        <f t="shared" si="4"/>
        <v>0</v>
      </c>
      <c r="S183" s="74">
        <f t="shared" si="5"/>
        <v>1</v>
      </c>
      <c r="T183" s="75"/>
      <c r="V183" s="76">
        <v>183.84</v>
      </c>
      <c r="W183" s="77">
        <v>202.01</v>
      </c>
      <c r="X183" s="77">
        <v>27.01</v>
      </c>
      <c r="Y183" s="77"/>
      <c r="Z183" s="77">
        <f>80.96+99.84</f>
        <v>180.8</v>
      </c>
      <c r="AA183" s="77">
        <v>960.12</v>
      </c>
      <c r="AB183" s="78">
        <f t="shared" si="38"/>
        <v>1553.78</v>
      </c>
      <c r="AC183" s="77"/>
      <c r="AD183" s="79">
        <v>0.0225</v>
      </c>
      <c r="AE183" s="80">
        <f t="shared" si="64"/>
        <v>357.0710795</v>
      </c>
      <c r="AF183" s="81"/>
      <c r="AG183" s="79"/>
      <c r="AH183" s="80">
        <f t="shared" si="65"/>
        <v>0</v>
      </c>
      <c r="AI183" s="82"/>
      <c r="AJ183" s="82">
        <f t="shared" si="7"/>
        <v>357.0710795</v>
      </c>
      <c r="AK183" s="83">
        <f t="shared" si="41"/>
        <v>357.0710795</v>
      </c>
      <c r="AL183" s="84">
        <f t="shared" si="42"/>
        <v>766.8910795</v>
      </c>
      <c r="AP183" s="85">
        <f t="shared" si="9"/>
        <v>1</v>
      </c>
      <c r="AQ183" s="20">
        <f t="shared" si="10"/>
        <v>1</v>
      </c>
      <c r="AR183" s="20">
        <f t="shared" si="11"/>
        <v>1</v>
      </c>
      <c r="AS183" s="86">
        <f t="shared" si="12"/>
        <v>10102.26</v>
      </c>
      <c r="AT183" s="87">
        <f t="shared" si="13"/>
        <v>32180.48</v>
      </c>
      <c r="AU183" s="88">
        <f t="shared" si="14"/>
        <v>2.033333333</v>
      </c>
      <c r="AV183" s="89" t="str">
        <f t="shared" si="15"/>
        <v>#VALUE!</v>
      </c>
      <c r="AW183" s="90" t="str">
        <f t="shared" si="16"/>
        <v>#VALUE!</v>
      </c>
      <c r="AY183" s="85">
        <f t="shared" si="17"/>
        <v>0</v>
      </c>
      <c r="AZ183" s="20">
        <f t="shared" si="18"/>
        <v>1</v>
      </c>
      <c r="BA183" s="20">
        <f t="shared" si="19"/>
        <v>0</v>
      </c>
      <c r="BB183" s="91">
        <f t="shared" si="20"/>
        <v>0</v>
      </c>
      <c r="BC183" s="87">
        <f t="shared" si="21"/>
        <v>0</v>
      </c>
      <c r="BD183" s="92">
        <f t="shared" si="22"/>
        <v>0</v>
      </c>
      <c r="BE183" s="89" t="str">
        <f t="shared" si="23"/>
        <v>#VALUE!</v>
      </c>
      <c r="BF183" s="90">
        <f t="shared" si="24"/>
        <v>0</v>
      </c>
      <c r="BH183" s="93">
        <f t="shared" si="25"/>
        <v>32180.48</v>
      </c>
      <c r="BI183" s="94">
        <f t="shared" si="26"/>
        <v>1</v>
      </c>
      <c r="BJ183" s="95" t="str">
        <f t="shared" si="27"/>
        <v>#VALUE!</v>
      </c>
      <c r="BK183" s="96" t="str">
        <f t="shared" si="28"/>
        <v>#VALUE!</v>
      </c>
      <c r="BM183" s="97">
        <f t="shared" si="29"/>
        <v>1</v>
      </c>
    </row>
    <row r="184" ht="12.75" customHeight="1">
      <c r="A184" s="65"/>
      <c r="B184" s="66" t="s">
        <v>379</v>
      </c>
      <c r="C184" s="67">
        <v>34338.38</v>
      </c>
      <c r="D184" s="68">
        <v>13.0</v>
      </c>
      <c r="E184" s="67">
        <v>29916.4</v>
      </c>
      <c r="F184" s="68" t="s">
        <v>56</v>
      </c>
      <c r="G184" s="69">
        <v>43040.0</v>
      </c>
      <c r="H184" s="71" t="s">
        <v>57</v>
      </c>
      <c r="I184" s="69">
        <v>43313.0</v>
      </c>
      <c r="J184" s="71">
        <f t="shared" si="1"/>
        <v>9.1</v>
      </c>
      <c r="K184" s="72" t="s">
        <v>380</v>
      </c>
      <c r="L184" s="72">
        <v>66500.0</v>
      </c>
      <c r="M184" s="73">
        <v>1094.11</v>
      </c>
      <c r="N184" s="73">
        <v>5459.24</v>
      </c>
      <c r="O184" s="73">
        <v>3588.12</v>
      </c>
      <c r="P184" s="73">
        <f t="shared" si="43"/>
        <v>0</v>
      </c>
      <c r="Q184" s="73">
        <f t="shared" si="35"/>
        <v>0</v>
      </c>
      <c r="R184" s="74">
        <f t="shared" si="4"/>
        <v>0</v>
      </c>
      <c r="S184" s="74">
        <f t="shared" si="5"/>
        <v>1</v>
      </c>
      <c r="T184" s="75"/>
      <c r="V184" s="76">
        <v>191.25</v>
      </c>
      <c r="W184" s="77"/>
      <c r="X184" s="77">
        <v>13.39</v>
      </c>
      <c r="Y184" s="77"/>
      <c r="Z184" s="77">
        <f>258.75+210.6+205.65</f>
        <v>675</v>
      </c>
      <c r="AA184" s="77">
        <v>3040.61</v>
      </c>
      <c r="AB184" s="78">
        <f t="shared" si="38"/>
        <v>3920.25</v>
      </c>
      <c r="AC184" s="77"/>
      <c r="AD184" s="79">
        <v>0.0275</v>
      </c>
      <c r="AE184" s="80">
        <f t="shared" si="64"/>
        <v>405.7155616</v>
      </c>
      <c r="AF184" s="81"/>
      <c r="AG184" s="79"/>
      <c r="AH184" s="80">
        <f t="shared" si="65"/>
        <v>0</v>
      </c>
      <c r="AI184" s="82"/>
      <c r="AJ184" s="82">
        <f t="shared" si="7"/>
        <v>405.7155616</v>
      </c>
      <c r="AK184" s="83">
        <f t="shared" si="41"/>
        <v>405.7155616</v>
      </c>
      <c r="AL184" s="84">
        <f t="shared" si="42"/>
        <v>1094.105562</v>
      </c>
      <c r="AP184" s="85">
        <f t="shared" si="9"/>
        <v>1</v>
      </c>
      <c r="AQ184" s="20">
        <f t="shared" si="10"/>
        <v>1</v>
      </c>
      <c r="AR184" s="20">
        <f t="shared" si="11"/>
        <v>1</v>
      </c>
      <c r="AS184" s="86">
        <f t="shared" si="12"/>
        <v>9047.36</v>
      </c>
      <c r="AT184" s="87">
        <f t="shared" si="13"/>
        <v>29916.4</v>
      </c>
      <c r="AU184" s="88">
        <f t="shared" si="14"/>
        <v>9.1</v>
      </c>
      <c r="AV184" s="89" t="str">
        <f t="shared" si="15"/>
        <v>#VALUE!</v>
      </c>
      <c r="AW184" s="90" t="str">
        <f t="shared" si="16"/>
        <v>#VALUE!</v>
      </c>
      <c r="AY184" s="85">
        <f t="shared" si="17"/>
        <v>0</v>
      </c>
      <c r="AZ184" s="20">
        <f t="shared" si="18"/>
        <v>1</v>
      </c>
      <c r="BA184" s="20">
        <f t="shared" si="19"/>
        <v>0</v>
      </c>
      <c r="BB184" s="91">
        <f t="shared" si="20"/>
        <v>0</v>
      </c>
      <c r="BC184" s="87">
        <f t="shared" si="21"/>
        <v>0</v>
      </c>
      <c r="BD184" s="92">
        <f t="shared" si="22"/>
        <v>0</v>
      </c>
      <c r="BE184" s="89" t="str">
        <f t="shared" si="23"/>
        <v>#VALUE!</v>
      </c>
      <c r="BF184" s="90">
        <f t="shared" si="24"/>
        <v>0</v>
      </c>
      <c r="BH184" s="93">
        <f t="shared" si="25"/>
        <v>29916.4</v>
      </c>
      <c r="BI184" s="94">
        <f t="shared" si="26"/>
        <v>1</v>
      </c>
      <c r="BJ184" s="95" t="str">
        <f t="shared" si="27"/>
        <v>#VALUE!</v>
      </c>
      <c r="BK184" s="96" t="str">
        <f t="shared" si="28"/>
        <v>#VALUE!</v>
      </c>
      <c r="BM184" s="97">
        <f t="shared" si="29"/>
        <v>1</v>
      </c>
    </row>
    <row r="185" ht="12.75" customHeight="1">
      <c r="A185" s="65"/>
      <c r="B185" s="66" t="s">
        <v>381</v>
      </c>
      <c r="C185" s="67">
        <v>28215.0</v>
      </c>
      <c r="D185" s="68">
        <v>12.0</v>
      </c>
      <c r="E185" s="67">
        <v>24327.18</v>
      </c>
      <c r="F185" s="68" t="s">
        <v>56</v>
      </c>
      <c r="G185" s="69">
        <v>43070.0</v>
      </c>
      <c r="H185" s="71" t="s">
        <v>57</v>
      </c>
      <c r="I185" s="69">
        <v>43282.0</v>
      </c>
      <c r="J185" s="71">
        <f t="shared" si="1"/>
        <v>7.066666667</v>
      </c>
      <c r="K185" s="72" t="s">
        <v>382</v>
      </c>
      <c r="L185" s="72">
        <v>40000.0</v>
      </c>
      <c r="M185" s="73">
        <v>270.35999999999996</v>
      </c>
      <c r="N185" s="73">
        <v>3922.1</v>
      </c>
      <c r="O185" s="73">
        <v>105.0</v>
      </c>
      <c r="P185" s="73">
        <f t="shared" si="43"/>
        <v>0</v>
      </c>
      <c r="Q185" s="73">
        <f t="shared" si="35"/>
        <v>0</v>
      </c>
      <c r="R185" s="74">
        <f t="shared" si="4"/>
        <v>0</v>
      </c>
      <c r="S185" s="74">
        <f t="shared" si="5"/>
        <v>1</v>
      </c>
      <c r="T185" s="75"/>
      <c r="V185" s="76">
        <v>144.0</v>
      </c>
      <c r="W185" s="77"/>
      <c r="X185" s="77">
        <v>10.08</v>
      </c>
      <c r="Y185" s="77"/>
      <c r="Z185" s="77">
        <f>74.7+117.36+68.22</f>
        <v>260.28</v>
      </c>
      <c r="AA185" s="77"/>
      <c r="AB185" s="78">
        <f t="shared" si="38"/>
        <v>414.36</v>
      </c>
      <c r="AC185" s="77"/>
      <c r="AD185" s="79">
        <v>0.0</v>
      </c>
      <c r="AE185" s="80">
        <f t="shared" si="64"/>
        <v>0</v>
      </c>
      <c r="AF185" s="81"/>
      <c r="AG185" s="79"/>
      <c r="AH185" s="80">
        <f t="shared" si="65"/>
        <v>0</v>
      </c>
      <c r="AI185" s="82"/>
      <c r="AJ185" s="82">
        <f t="shared" si="7"/>
        <v>0</v>
      </c>
      <c r="AK185" s="83" t="str">
        <f t="shared" si="41"/>
        <v/>
      </c>
      <c r="AL185" s="84">
        <f t="shared" si="42"/>
        <v>270.36</v>
      </c>
      <c r="AP185" s="85">
        <f t="shared" si="9"/>
        <v>1</v>
      </c>
      <c r="AQ185" s="20">
        <f t="shared" si="10"/>
        <v>1</v>
      </c>
      <c r="AR185" s="20">
        <f t="shared" si="11"/>
        <v>1</v>
      </c>
      <c r="AS185" s="86">
        <f t="shared" si="12"/>
        <v>4027.1</v>
      </c>
      <c r="AT185" s="87">
        <f t="shared" si="13"/>
        <v>24327.18</v>
      </c>
      <c r="AU185" s="88">
        <f t="shared" si="14"/>
        <v>7.066666667</v>
      </c>
      <c r="AV185" s="89" t="str">
        <f t="shared" si="15"/>
        <v>#VALUE!</v>
      </c>
      <c r="AW185" s="90" t="str">
        <f t="shared" si="16"/>
        <v>#VALUE!</v>
      </c>
      <c r="AY185" s="85">
        <f t="shared" si="17"/>
        <v>0</v>
      </c>
      <c r="AZ185" s="20">
        <f t="shared" si="18"/>
        <v>1</v>
      </c>
      <c r="BA185" s="20">
        <f t="shared" si="19"/>
        <v>0</v>
      </c>
      <c r="BB185" s="91">
        <f t="shared" si="20"/>
        <v>0</v>
      </c>
      <c r="BC185" s="87">
        <f t="shared" si="21"/>
        <v>0</v>
      </c>
      <c r="BD185" s="92">
        <f t="shared" si="22"/>
        <v>0</v>
      </c>
      <c r="BE185" s="89" t="str">
        <f t="shared" si="23"/>
        <v>#VALUE!</v>
      </c>
      <c r="BF185" s="90">
        <f t="shared" si="24"/>
        <v>0</v>
      </c>
      <c r="BH185" s="93">
        <f t="shared" si="25"/>
        <v>24327.18</v>
      </c>
      <c r="BI185" s="94">
        <f t="shared" si="26"/>
        <v>1</v>
      </c>
      <c r="BJ185" s="95" t="str">
        <f t="shared" si="27"/>
        <v>#VALUE!</v>
      </c>
      <c r="BK185" s="96" t="str">
        <f t="shared" si="28"/>
        <v>#VALUE!</v>
      </c>
      <c r="BM185" s="97">
        <f t="shared" si="29"/>
        <v>1</v>
      </c>
    </row>
    <row r="186" ht="12.75" customHeight="1">
      <c r="A186" s="65"/>
      <c r="B186" s="66" t="s">
        <v>383</v>
      </c>
      <c r="C186" s="67">
        <v>19000.0</v>
      </c>
      <c r="D186" s="68">
        <v>13.0</v>
      </c>
      <c r="E186" s="67">
        <v>14059.21</v>
      </c>
      <c r="F186" s="68" t="s">
        <v>56</v>
      </c>
      <c r="G186" s="69">
        <v>43281.0</v>
      </c>
      <c r="H186" s="71" t="s">
        <v>57</v>
      </c>
      <c r="I186" s="69">
        <v>43497.0</v>
      </c>
      <c r="J186" s="71">
        <f t="shared" si="1"/>
        <v>7.2</v>
      </c>
      <c r="K186" s="72" t="s">
        <v>69</v>
      </c>
      <c r="L186" s="72">
        <v>41000.0</v>
      </c>
      <c r="M186" s="73">
        <v>510.85</v>
      </c>
      <c r="N186" s="73">
        <v>4379.91</v>
      </c>
      <c r="O186" s="73">
        <v>3955.2</v>
      </c>
      <c r="P186" s="73">
        <f t="shared" si="43"/>
        <v>0</v>
      </c>
      <c r="Q186" s="73">
        <f t="shared" si="35"/>
        <v>0</v>
      </c>
      <c r="R186" s="74">
        <f t="shared" si="4"/>
        <v>0</v>
      </c>
      <c r="S186" s="74">
        <f t="shared" si="5"/>
        <v>1</v>
      </c>
      <c r="T186" s="75"/>
      <c r="V186" s="76">
        <v>426.3</v>
      </c>
      <c r="W186" s="77">
        <v>12.16</v>
      </c>
      <c r="X186" s="77">
        <v>30.69</v>
      </c>
      <c r="Y186" s="77"/>
      <c r="Z186" s="77">
        <v>0.0</v>
      </c>
      <c r="AA186" s="77">
        <v>3372.29</v>
      </c>
      <c r="AB186" s="78">
        <f t="shared" si="38"/>
        <v>3841.44</v>
      </c>
      <c r="AC186" s="77"/>
      <c r="AD186" s="79">
        <v>0.0675</v>
      </c>
      <c r="AE186" s="80">
        <f t="shared" si="64"/>
        <v>467.9983603</v>
      </c>
      <c r="AF186" s="81"/>
      <c r="AG186" s="79"/>
      <c r="AH186" s="80">
        <f t="shared" si="65"/>
        <v>0</v>
      </c>
      <c r="AI186" s="82"/>
      <c r="AJ186" s="82">
        <f t="shared" si="7"/>
        <v>467.9983603</v>
      </c>
      <c r="AK186" s="83">
        <f t="shared" si="41"/>
        <v>467.9983603</v>
      </c>
      <c r="AL186" s="84">
        <f t="shared" si="42"/>
        <v>510.8483603</v>
      </c>
      <c r="AP186" s="85">
        <f t="shared" si="9"/>
        <v>1</v>
      </c>
      <c r="AQ186" s="20">
        <f t="shared" si="10"/>
        <v>1</v>
      </c>
      <c r="AR186" s="20">
        <f t="shared" si="11"/>
        <v>1</v>
      </c>
      <c r="AS186" s="86">
        <f t="shared" si="12"/>
        <v>8335.11</v>
      </c>
      <c r="AT186" s="87">
        <f t="shared" si="13"/>
        <v>14059.21</v>
      </c>
      <c r="AU186" s="88">
        <f t="shared" si="14"/>
        <v>7.2</v>
      </c>
      <c r="AV186" s="89" t="str">
        <f t="shared" si="15"/>
        <v>#VALUE!</v>
      </c>
      <c r="AW186" s="90" t="str">
        <f t="shared" si="16"/>
        <v>#VALUE!</v>
      </c>
      <c r="AY186" s="85">
        <f t="shared" si="17"/>
        <v>0</v>
      </c>
      <c r="AZ186" s="20">
        <f t="shared" si="18"/>
        <v>1</v>
      </c>
      <c r="BA186" s="20">
        <f t="shared" si="19"/>
        <v>0</v>
      </c>
      <c r="BB186" s="91">
        <f t="shared" si="20"/>
        <v>0</v>
      </c>
      <c r="BC186" s="87">
        <f t="shared" si="21"/>
        <v>0</v>
      </c>
      <c r="BD186" s="92">
        <f t="shared" si="22"/>
        <v>0</v>
      </c>
      <c r="BE186" s="89" t="str">
        <f t="shared" si="23"/>
        <v>#VALUE!</v>
      </c>
      <c r="BF186" s="90">
        <f t="shared" si="24"/>
        <v>0</v>
      </c>
      <c r="BH186" s="93">
        <f t="shared" si="25"/>
        <v>14059.21</v>
      </c>
      <c r="BI186" s="94">
        <f t="shared" si="26"/>
        <v>1</v>
      </c>
      <c r="BJ186" s="95" t="str">
        <f t="shared" si="27"/>
        <v>#VALUE!</v>
      </c>
      <c r="BK186" s="96" t="str">
        <f t="shared" si="28"/>
        <v>#VALUE!</v>
      </c>
      <c r="BM186" s="97">
        <f t="shared" si="29"/>
        <v>1</v>
      </c>
    </row>
    <row r="187" ht="12.75" customHeight="1">
      <c r="A187" s="65"/>
      <c r="B187" s="66" t="s">
        <v>384</v>
      </c>
      <c r="C187" s="67">
        <v>16165.0</v>
      </c>
      <c r="D187" s="68">
        <v>13.0</v>
      </c>
      <c r="E187" s="67">
        <v>13385.19</v>
      </c>
      <c r="F187" s="68" t="s">
        <v>56</v>
      </c>
      <c r="G187" s="69">
        <v>43281.0</v>
      </c>
      <c r="H187" s="71" t="s">
        <v>57</v>
      </c>
      <c r="I187" s="69">
        <v>43828.0</v>
      </c>
      <c r="J187" s="71">
        <f t="shared" si="1"/>
        <v>18.23333333</v>
      </c>
      <c r="K187" s="72" t="s">
        <v>385</v>
      </c>
      <c r="L187" s="72">
        <v>15000.0</v>
      </c>
      <c r="M187" s="73">
        <v>514.81</v>
      </c>
      <c r="N187" s="73">
        <v>5724.0</v>
      </c>
      <c r="O187" s="73">
        <v>5724.4</v>
      </c>
      <c r="P187" s="73">
        <v>0.0</v>
      </c>
      <c r="Q187" s="73">
        <f t="shared" si="35"/>
        <v>10348.4</v>
      </c>
      <c r="R187" s="74">
        <f t="shared" si="4"/>
        <v>0.7731231309</v>
      </c>
      <c r="S187" s="74">
        <f t="shared" si="5"/>
        <v>0.2268768691</v>
      </c>
      <c r="T187" s="75"/>
      <c r="V187" s="76">
        <v>463.84</v>
      </c>
      <c r="W187" s="77">
        <v>5.63</v>
      </c>
      <c r="X187" s="77">
        <v>32.86</v>
      </c>
      <c r="Y187" s="77"/>
      <c r="Z187" s="77">
        <f>141.96+220.48+113.88</f>
        <v>476.32</v>
      </c>
      <c r="AA187" s="77"/>
      <c r="AB187" s="78">
        <f t="shared" si="38"/>
        <v>978.65</v>
      </c>
      <c r="AC187" s="77"/>
      <c r="AD187" s="79">
        <v>0.0</v>
      </c>
      <c r="AE187" s="80">
        <f t="shared" si="64"/>
        <v>0</v>
      </c>
      <c r="AF187" s="81"/>
      <c r="AG187" s="79"/>
      <c r="AH187" s="80">
        <f t="shared" si="65"/>
        <v>0</v>
      </c>
      <c r="AI187" s="82"/>
      <c r="AJ187" s="82">
        <f t="shared" si="7"/>
        <v>0</v>
      </c>
      <c r="AK187" s="83" t="str">
        <f t="shared" si="41"/>
        <v/>
      </c>
      <c r="AL187" s="84">
        <f t="shared" si="42"/>
        <v>514.81</v>
      </c>
      <c r="AP187" s="85">
        <f t="shared" si="9"/>
        <v>1</v>
      </c>
      <c r="AQ187" s="20">
        <f t="shared" si="10"/>
        <v>1</v>
      </c>
      <c r="AR187" s="20">
        <f t="shared" si="11"/>
        <v>1</v>
      </c>
      <c r="AS187" s="86">
        <f t="shared" si="12"/>
        <v>11448.4</v>
      </c>
      <c r="AT187" s="87">
        <f t="shared" si="13"/>
        <v>13385.19</v>
      </c>
      <c r="AU187" s="88">
        <f t="shared" si="14"/>
        <v>18.23333333</v>
      </c>
      <c r="AV187" s="89" t="str">
        <f t="shared" si="15"/>
        <v>#VALUE!</v>
      </c>
      <c r="AW187" s="90" t="str">
        <f t="shared" si="16"/>
        <v>#VALUE!</v>
      </c>
      <c r="AY187" s="85">
        <f t="shared" si="17"/>
        <v>0</v>
      </c>
      <c r="AZ187" s="20">
        <f t="shared" si="18"/>
        <v>1</v>
      </c>
      <c r="BA187" s="20">
        <f t="shared" si="19"/>
        <v>0</v>
      </c>
      <c r="BB187" s="91">
        <f t="shared" si="20"/>
        <v>0</v>
      </c>
      <c r="BC187" s="87">
        <f t="shared" si="21"/>
        <v>0</v>
      </c>
      <c r="BD187" s="92">
        <f t="shared" si="22"/>
        <v>0</v>
      </c>
      <c r="BE187" s="89" t="str">
        <f t="shared" si="23"/>
        <v>#VALUE!</v>
      </c>
      <c r="BF187" s="90">
        <f t="shared" si="24"/>
        <v>0</v>
      </c>
      <c r="BH187" s="93">
        <f t="shared" si="25"/>
        <v>13385.19</v>
      </c>
      <c r="BI187" s="94">
        <f t="shared" si="26"/>
        <v>1</v>
      </c>
      <c r="BJ187" s="95" t="str">
        <f t="shared" si="27"/>
        <v>#VALUE!</v>
      </c>
      <c r="BK187" s="96" t="str">
        <f t="shared" si="28"/>
        <v>#VALUE!</v>
      </c>
      <c r="BM187" s="97">
        <f t="shared" si="29"/>
        <v>1</v>
      </c>
    </row>
    <row r="188" ht="12.75" customHeight="1">
      <c r="A188" s="65"/>
      <c r="B188" s="66" t="s">
        <v>386</v>
      </c>
      <c r="C188" s="67">
        <v>21303.86</v>
      </c>
      <c r="D188" s="68">
        <v>13.0</v>
      </c>
      <c r="E188" s="67">
        <v>15897.02</v>
      </c>
      <c r="F188" s="68" t="s">
        <v>56</v>
      </c>
      <c r="G188" s="69">
        <v>43285.0</v>
      </c>
      <c r="H188" s="71" t="s">
        <v>57</v>
      </c>
      <c r="I188" s="69">
        <v>43352.0</v>
      </c>
      <c r="J188" s="71">
        <f t="shared" si="1"/>
        <v>2.233333333</v>
      </c>
      <c r="K188" s="72" t="s">
        <v>387</v>
      </c>
      <c r="L188" s="72">
        <v>42000.0</v>
      </c>
      <c r="M188" s="73">
        <v>1472.14</v>
      </c>
      <c r="N188" s="73">
        <v>8879.97</v>
      </c>
      <c r="O188" s="73">
        <v>285.0</v>
      </c>
      <c r="P188" s="73">
        <f>IF(L188="N/A",0,IF(L188-E188&gt;0,0,E188-L188))</f>
        <v>0</v>
      </c>
      <c r="Q188" s="73">
        <v>0.0</v>
      </c>
      <c r="R188" s="74">
        <f t="shared" si="4"/>
        <v>0</v>
      </c>
      <c r="S188" s="74">
        <f t="shared" si="5"/>
        <v>1</v>
      </c>
      <c r="T188" s="75"/>
      <c r="V188" s="76">
        <v>445.2</v>
      </c>
      <c r="W188" s="77">
        <v>20.99</v>
      </c>
      <c r="X188" s="77">
        <v>32.63</v>
      </c>
      <c r="Y188" s="77"/>
      <c r="Z188" s="77">
        <f>208.29+547.49+153.17</f>
        <v>908.95</v>
      </c>
      <c r="AA188" s="77">
        <v>5190.82</v>
      </c>
      <c r="AB188" s="78">
        <f t="shared" si="38"/>
        <v>6598.59</v>
      </c>
      <c r="AC188" s="77"/>
      <c r="AD188" s="79">
        <v>0.065</v>
      </c>
      <c r="AE188" s="80">
        <f t="shared" si="64"/>
        <v>509.5757096</v>
      </c>
      <c r="AF188" s="81"/>
      <c r="AG188" s="79"/>
      <c r="AH188" s="80">
        <f t="shared" si="65"/>
        <v>0</v>
      </c>
      <c r="AI188" s="82"/>
      <c r="AJ188" s="82">
        <f t="shared" si="7"/>
        <v>509.5757096</v>
      </c>
      <c r="AK188" s="83">
        <f t="shared" si="41"/>
        <v>509.5757096</v>
      </c>
      <c r="AL188" s="84">
        <f t="shared" si="42"/>
        <v>1472.14571</v>
      </c>
      <c r="AP188" s="85">
        <f t="shared" si="9"/>
        <v>1</v>
      </c>
      <c r="AQ188" s="20">
        <f t="shared" si="10"/>
        <v>1</v>
      </c>
      <c r="AR188" s="20">
        <f t="shared" si="11"/>
        <v>1</v>
      </c>
      <c r="AS188" s="86">
        <f t="shared" si="12"/>
        <v>9164.97</v>
      </c>
      <c r="AT188" s="87">
        <f t="shared" si="13"/>
        <v>15897.02</v>
      </c>
      <c r="AU188" s="88">
        <f t="shared" si="14"/>
        <v>2.233333333</v>
      </c>
      <c r="AV188" s="89" t="str">
        <f t="shared" si="15"/>
        <v>#VALUE!</v>
      </c>
      <c r="AW188" s="90" t="str">
        <f t="shared" si="16"/>
        <v>#VALUE!</v>
      </c>
      <c r="AY188" s="85">
        <f t="shared" si="17"/>
        <v>0</v>
      </c>
      <c r="AZ188" s="20">
        <f t="shared" si="18"/>
        <v>1</v>
      </c>
      <c r="BA188" s="20">
        <f t="shared" si="19"/>
        <v>0</v>
      </c>
      <c r="BB188" s="91">
        <f t="shared" si="20"/>
        <v>0</v>
      </c>
      <c r="BC188" s="87">
        <f t="shared" si="21"/>
        <v>0</v>
      </c>
      <c r="BD188" s="92">
        <f t="shared" si="22"/>
        <v>0</v>
      </c>
      <c r="BE188" s="89" t="str">
        <f t="shared" si="23"/>
        <v>#VALUE!</v>
      </c>
      <c r="BF188" s="90">
        <f t="shared" si="24"/>
        <v>0</v>
      </c>
      <c r="BH188" s="93">
        <f t="shared" si="25"/>
        <v>15897.02</v>
      </c>
      <c r="BI188" s="94">
        <f t="shared" si="26"/>
        <v>1</v>
      </c>
      <c r="BJ188" s="95" t="str">
        <f t="shared" si="27"/>
        <v>#VALUE!</v>
      </c>
      <c r="BK188" s="96" t="str">
        <f t="shared" si="28"/>
        <v>#VALUE!</v>
      </c>
      <c r="BM188" s="97">
        <f t="shared" si="29"/>
        <v>1</v>
      </c>
    </row>
    <row r="189" ht="12.75" customHeight="1">
      <c r="A189" s="65"/>
      <c r="B189" s="66" t="s">
        <v>388</v>
      </c>
      <c r="C189" s="67">
        <v>43200.0</v>
      </c>
      <c r="D189" s="68">
        <v>13.0</v>
      </c>
      <c r="E189" s="67">
        <v>42514.15</v>
      </c>
      <c r="F189" s="68" t="s">
        <v>56</v>
      </c>
      <c r="G189" s="69">
        <v>43343.0</v>
      </c>
      <c r="H189" s="71" t="s">
        <v>57</v>
      </c>
      <c r="I189" s="69">
        <v>43828.0</v>
      </c>
      <c r="J189" s="71">
        <f t="shared" si="1"/>
        <v>16.16666667</v>
      </c>
      <c r="K189" s="72" t="s">
        <v>389</v>
      </c>
      <c r="L189" s="72">
        <v>62000.0</v>
      </c>
      <c r="M189" s="73">
        <v>1755.48</v>
      </c>
      <c r="N189" s="73">
        <v>4808.13</v>
      </c>
      <c r="O189" s="73">
        <v>4808.13</v>
      </c>
      <c r="P189" s="73">
        <v>0.0</v>
      </c>
      <c r="Q189" s="73">
        <f>IF(L189="N/A",0,IF(L189-E189-M189-N189-O189&gt;0,0,(L189-E189-M189-N189-O189)*-1))</f>
        <v>0</v>
      </c>
      <c r="R189" s="74">
        <f t="shared" si="4"/>
        <v>0</v>
      </c>
      <c r="S189" s="74">
        <f t="shared" si="5"/>
        <v>1</v>
      </c>
      <c r="T189" s="75"/>
      <c r="V189" s="76">
        <v>203.5</v>
      </c>
      <c r="W189" s="77"/>
      <c r="X189" s="77">
        <v>14.25</v>
      </c>
      <c r="Y189" s="77"/>
      <c r="Z189" s="77">
        <f>110.88+199.54+193.82</f>
        <v>504.24</v>
      </c>
      <c r="AA189" s="77">
        <v>5016.99</v>
      </c>
      <c r="AB189" s="78">
        <f t="shared" si="38"/>
        <v>5738.98</v>
      </c>
      <c r="AC189" s="77"/>
      <c r="AD189" s="79">
        <v>0.059</v>
      </c>
      <c r="AE189" s="80">
        <f t="shared" si="64"/>
        <v>1236.987049</v>
      </c>
      <c r="AF189" s="81"/>
      <c r="AG189" s="79"/>
      <c r="AH189" s="80">
        <f t="shared" si="65"/>
        <v>0</v>
      </c>
      <c r="AI189" s="82"/>
      <c r="AJ189" s="82">
        <f t="shared" si="7"/>
        <v>1236.987049</v>
      </c>
      <c r="AK189" s="83">
        <f t="shared" si="41"/>
        <v>1236.987049</v>
      </c>
      <c r="AL189" s="84">
        <f t="shared" si="42"/>
        <v>1755.477049</v>
      </c>
      <c r="AP189" s="85">
        <f t="shared" si="9"/>
        <v>1</v>
      </c>
      <c r="AQ189" s="20">
        <f t="shared" si="10"/>
        <v>1</v>
      </c>
      <c r="AR189" s="20">
        <f t="shared" si="11"/>
        <v>1</v>
      </c>
      <c r="AS189" s="86">
        <f t="shared" si="12"/>
        <v>9616.26</v>
      </c>
      <c r="AT189" s="87">
        <f t="shared" si="13"/>
        <v>42514.15</v>
      </c>
      <c r="AU189" s="88">
        <f t="shared" si="14"/>
        <v>16.16666667</v>
      </c>
      <c r="AV189" s="89" t="str">
        <f t="shared" si="15"/>
        <v>#VALUE!</v>
      </c>
      <c r="AW189" s="90" t="str">
        <f t="shared" si="16"/>
        <v>#VALUE!</v>
      </c>
      <c r="AY189" s="85">
        <f t="shared" si="17"/>
        <v>0</v>
      </c>
      <c r="AZ189" s="20">
        <f t="shared" si="18"/>
        <v>1</v>
      </c>
      <c r="BA189" s="20">
        <f t="shared" si="19"/>
        <v>0</v>
      </c>
      <c r="BB189" s="91">
        <f t="shared" si="20"/>
        <v>0</v>
      </c>
      <c r="BC189" s="87">
        <f t="shared" si="21"/>
        <v>0</v>
      </c>
      <c r="BD189" s="92">
        <f t="shared" si="22"/>
        <v>0</v>
      </c>
      <c r="BE189" s="89" t="str">
        <f t="shared" si="23"/>
        <v>#VALUE!</v>
      </c>
      <c r="BF189" s="90">
        <f t="shared" si="24"/>
        <v>0</v>
      </c>
      <c r="BH189" s="93">
        <f t="shared" si="25"/>
        <v>42514.15</v>
      </c>
      <c r="BI189" s="94">
        <f t="shared" si="26"/>
        <v>1</v>
      </c>
      <c r="BJ189" s="95" t="str">
        <f t="shared" si="27"/>
        <v>#VALUE!</v>
      </c>
      <c r="BK189" s="96" t="str">
        <f t="shared" si="28"/>
        <v>#VALUE!</v>
      </c>
      <c r="BM189" s="97">
        <f t="shared" si="29"/>
        <v>1</v>
      </c>
    </row>
    <row r="190" ht="12.75" customHeight="1">
      <c r="A190" s="65"/>
      <c r="B190" s="66" t="s">
        <v>390</v>
      </c>
      <c r="C190" s="67">
        <v>19290.0</v>
      </c>
      <c r="D190" s="68">
        <v>13.0</v>
      </c>
      <c r="E190" s="67">
        <v>15262.37</v>
      </c>
      <c r="F190" s="68" t="s">
        <v>56</v>
      </c>
      <c r="G190" s="69">
        <v>43374.0</v>
      </c>
      <c r="H190" s="71" t="s">
        <v>57</v>
      </c>
      <c r="I190" s="69">
        <v>43527.0</v>
      </c>
      <c r="J190" s="71">
        <f t="shared" si="1"/>
        <v>5.1</v>
      </c>
      <c r="K190" s="72" t="s">
        <v>391</v>
      </c>
      <c r="L190" s="72">
        <v>35000.0</v>
      </c>
      <c r="M190" s="73">
        <v>446.40000000000003</v>
      </c>
      <c r="N190" s="73">
        <v>2568.72</v>
      </c>
      <c r="O190" s="73">
        <v>140.0</v>
      </c>
      <c r="P190" s="73">
        <v>0.0</v>
      </c>
      <c r="Q190" s="73">
        <v>0.0</v>
      </c>
      <c r="R190" s="74">
        <f t="shared" si="4"/>
        <v>0</v>
      </c>
      <c r="S190" s="74">
        <f t="shared" si="5"/>
        <v>1</v>
      </c>
      <c r="T190" s="75"/>
      <c r="V190" s="76">
        <v>360.0</v>
      </c>
      <c r="W190" s="77"/>
      <c r="X190" s="77">
        <v>25.2</v>
      </c>
      <c r="Y190" s="77"/>
      <c r="Z190" s="77">
        <f>141.3+164.25+115.65</f>
        <v>421.2</v>
      </c>
      <c r="AA190" s="77"/>
      <c r="AB190" s="78">
        <f t="shared" si="38"/>
        <v>806.4</v>
      </c>
      <c r="AC190" s="77"/>
      <c r="AD190" s="79">
        <v>0.0</v>
      </c>
      <c r="AE190" s="80">
        <f t="shared" si="64"/>
        <v>0</v>
      </c>
      <c r="AF190" s="81"/>
      <c r="AG190" s="79"/>
      <c r="AH190" s="80">
        <f t="shared" si="65"/>
        <v>0</v>
      </c>
      <c r="AI190" s="82"/>
      <c r="AJ190" s="82">
        <f t="shared" si="7"/>
        <v>0</v>
      </c>
      <c r="AK190" s="83" t="str">
        <f t="shared" si="41"/>
        <v/>
      </c>
      <c r="AL190" s="84">
        <f t="shared" si="42"/>
        <v>446.4</v>
      </c>
      <c r="AP190" s="85">
        <f t="shared" si="9"/>
        <v>1</v>
      </c>
      <c r="AQ190" s="20">
        <f t="shared" si="10"/>
        <v>1</v>
      </c>
      <c r="AR190" s="20">
        <f t="shared" si="11"/>
        <v>1</v>
      </c>
      <c r="AS190" s="86">
        <f t="shared" si="12"/>
        <v>2708.72</v>
      </c>
      <c r="AT190" s="87">
        <f t="shared" si="13"/>
        <v>15262.37</v>
      </c>
      <c r="AU190" s="88">
        <f t="shared" si="14"/>
        <v>5.1</v>
      </c>
      <c r="AV190" s="89" t="str">
        <f t="shared" si="15"/>
        <v>#VALUE!</v>
      </c>
      <c r="AW190" s="90" t="str">
        <f t="shared" si="16"/>
        <v>#VALUE!</v>
      </c>
      <c r="AY190" s="85">
        <f t="shared" si="17"/>
        <v>0</v>
      </c>
      <c r="AZ190" s="20">
        <f t="shared" si="18"/>
        <v>1</v>
      </c>
      <c r="BA190" s="20">
        <f t="shared" si="19"/>
        <v>0</v>
      </c>
      <c r="BB190" s="91">
        <f t="shared" si="20"/>
        <v>0</v>
      </c>
      <c r="BC190" s="87">
        <f t="shared" si="21"/>
        <v>0</v>
      </c>
      <c r="BD190" s="92">
        <f t="shared" si="22"/>
        <v>0</v>
      </c>
      <c r="BE190" s="89" t="str">
        <f t="shared" si="23"/>
        <v>#VALUE!</v>
      </c>
      <c r="BF190" s="90">
        <f t="shared" si="24"/>
        <v>0</v>
      </c>
      <c r="BH190" s="93">
        <f t="shared" si="25"/>
        <v>15262.37</v>
      </c>
      <c r="BI190" s="94">
        <f t="shared" si="26"/>
        <v>1</v>
      </c>
      <c r="BJ190" s="95" t="str">
        <f t="shared" si="27"/>
        <v>#VALUE!</v>
      </c>
      <c r="BK190" s="96" t="str">
        <f t="shared" si="28"/>
        <v>#VALUE!</v>
      </c>
      <c r="BM190" s="97">
        <f t="shared" si="29"/>
        <v>1</v>
      </c>
    </row>
    <row r="191" ht="12.75" customHeight="1">
      <c r="A191" s="65"/>
      <c r="B191" s="66" t="s">
        <v>392</v>
      </c>
      <c r="C191" s="67">
        <v>30350.0</v>
      </c>
      <c r="D191" s="68">
        <v>13.0</v>
      </c>
      <c r="E191" s="67">
        <v>27252.6</v>
      </c>
      <c r="F191" s="68" t="s">
        <v>56</v>
      </c>
      <c r="G191" s="69">
        <v>43466.0</v>
      </c>
      <c r="H191" s="71" t="s">
        <v>57</v>
      </c>
      <c r="I191" s="69">
        <v>44924.0</v>
      </c>
      <c r="J191" s="71">
        <f t="shared" si="1"/>
        <v>48.6</v>
      </c>
      <c r="K191" s="98" t="s">
        <v>393</v>
      </c>
      <c r="L191" s="98">
        <v>35000.0</v>
      </c>
      <c r="M191" s="73">
        <v>537.45</v>
      </c>
      <c r="N191" s="73">
        <v>6469.36</v>
      </c>
      <c r="O191" s="73">
        <v>1866.55</v>
      </c>
      <c r="P191" s="73">
        <f>IF(L191="N/A",0,IF(L191-E191&gt;0,0,E191-L191))</f>
        <v>0</v>
      </c>
      <c r="Q191" s="73">
        <f>IF(L191="N/A",0,IF(L191-E191-M191-N191-O191&gt;0,0,(L191-E191-M191-N191-O191)*-1))</f>
        <v>1125.96</v>
      </c>
      <c r="R191" s="74">
        <f t="shared" si="4"/>
        <v>0.04131569098</v>
      </c>
      <c r="S191" s="74">
        <f t="shared" si="5"/>
        <v>0.958684309</v>
      </c>
      <c r="T191" s="75"/>
      <c r="V191" s="76">
        <v>344.0</v>
      </c>
      <c r="W191" s="77">
        <v>11.36</v>
      </c>
      <c r="X191" s="77">
        <v>24.87</v>
      </c>
      <c r="Y191" s="77"/>
      <c r="Z191" s="77">
        <f>177.08+136.23+187.91</f>
        <v>501.22</v>
      </c>
      <c r="AA191" s="77"/>
      <c r="AB191" s="78">
        <f t="shared" si="38"/>
        <v>881.45</v>
      </c>
      <c r="AC191" s="77"/>
      <c r="AD191" s="79">
        <v>0.0</v>
      </c>
      <c r="AE191" s="80">
        <f t="shared" ref="AE191:AE194" si="66">((AC191*AD191)/365)*180</f>
        <v>0</v>
      </c>
      <c r="AF191" s="81"/>
      <c r="AG191" s="79"/>
      <c r="AH191" s="80">
        <f t="shared" ref="AH191:AH194" si="67">((AF191*AG191)/365)*180</f>
        <v>0</v>
      </c>
      <c r="AI191" s="82">
        <f t="shared" ref="AI191:AI194" si="68">AC191+AF191</f>
        <v>0</v>
      </c>
      <c r="AJ191" s="82">
        <f t="shared" si="7"/>
        <v>0</v>
      </c>
      <c r="AK191" s="83" t="str">
        <f t="shared" si="41"/>
        <v/>
      </c>
      <c r="AL191" s="84">
        <f t="shared" si="42"/>
        <v>537.45</v>
      </c>
      <c r="AP191" s="85">
        <f t="shared" si="9"/>
        <v>1</v>
      </c>
      <c r="AQ191" s="20">
        <f t="shared" si="10"/>
        <v>1</v>
      </c>
      <c r="AR191" s="20">
        <f t="shared" si="11"/>
        <v>1</v>
      </c>
      <c r="AS191" s="86">
        <f t="shared" si="12"/>
        <v>8335.91</v>
      </c>
      <c r="AT191" s="87">
        <f t="shared" si="13"/>
        <v>27252.6</v>
      </c>
      <c r="AU191" s="88">
        <f t="shared" si="14"/>
        <v>48.6</v>
      </c>
      <c r="AV191" s="89" t="str">
        <f t="shared" si="15"/>
        <v>#VALUE!</v>
      </c>
      <c r="AW191" s="90" t="str">
        <f t="shared" si="16"/>
        <v>#VALUE!</v>
      </c>
      <c r="AY191" s="85">
        <f t="shared" si="17"/>
        <v>0</v>
      </c>
      <c r="AZ191" s="20">
        <f t="shared" si="18"/>
        <v>1</v>
      </c>
      <c r="BA191" s="20">
        <f t="shared" si="19"/>
        <v>0</v>
      </c>
      <c r="BB191" s="91">
        <f t="shared" si="20"/>
        <v>0</v>
      </c>
      <c r="BC191" s="87">
        <f t="shared" si="21"/>
        <v>0</v>
      </c>
      <c r="BD191" s="92">
        <f t="shared" si="22"/>
        <v>0</v>
      </c>
      <c r="BE191" s="89" t="str">
        <f t="shared" si="23"/>
        <v>#VALUE!</v>
      </c>
      <c r="BF191" s="90">
        <f t="shared" si="24"/>
        <v>0</v>
      </c>
      <c r="BH191" s="93">
        <f t="shared" si="25"/>
        <v>27252.6</v>
      </c>
      <c r="BI191" s="94">
        <f t="shared" si="26"/>
        <v>1</v>
      </c>
      <c r="BJ191" s="95" t="str">
        <f t="shared" si="27"/>
        <v>#VALUE!</v>
      </c>
      <c r="BK191" s="96" t="str">
        <f t="shared" si="28"/>
        <v>#VALUE!</v>
      </c>
      <c r="BM191" s="97">
        <f t="shared" si="29"/>
        <v>1</v>
      </c>
    </row>
    <row r="192" ht="12.75" customHeight="1">
      <c r="A192" s="65"/>
      <c r="B192" s="66" t="s">
        <v>394</v>
      </c>
      <c r="C192" s="67">
        <v>25200.0</v>
      </c>
      <c r="D192" s="68">
        <v>13.0</v>
      </c>
      <c r="E192" s="67">
        <v>22065.22</v>
      </c>
      <c r="F192" s="68" t="s">
        <v>56</v>
      </c>
      <c r="G192" s="69">
        <v>43497.0</v>
      </c>
      <c r="H192" s="71" t="s">
        <v>57</v>
      </c>
      <c r="I192" s="69">
        <v>43635.0</v>
      </c>
      <c r="J192" s="71">
        <f t="shared" si="1"/>
        <v>4.6</v>
      </c>
      <c r="K192" s="72" t="s">
        <v>395</v>
      </c>
      <c r="L192" s="72">
        <v>42750.0</v>
      </c>
      <c r="M192" s="73">
        <v>2959.09</v>
      </c>
      <c r="N192" s="73">
        <v>6654.93</v>
      </c>
      <c r="O192" s="73">
        <v>2345.42</v>
      </c>
      <c r="P192" s="73">
        <v>0.0</v>
      </c>
      <c r="Q192" s="73">
        <v>0.0</v>
      </c>
      <c r="R192" s="74">
        <f t="shared" si="4"/>
        <v>0</v>
      </c>
      <c r="S192" s="74">
        <f t="shared" si="5"/>
        <v>1</v>
      </c>
      <c r="T192" s="75"/>
      <c r="V192" s="76">
        <v>569.0</v>
      </c>
      <c r="W192" s="77">
        <f>148.5+72.15</f>
        <v>220.65</v>
      </c>
      <c r="X192" s="77">
        <f>5.05+50.23</f>
        <v>55.28</v>
      </c>
      <c r="Y192" s="77">
        <v>300.47</v>
      </c>
      <c r="Z192" s="77">
        <f>186+828.5+178.5+362+111.5</f>
        <v>1666.5</v>
      </c>
      <c r="AA192" s="77">
        <f>2109.4+3651.44</f>
        <v>5760.84</v>
      </c>
      <c r="AB192" s="78">
        <f t="shared" si="38"/>
        <v>8572.74</v>
      </c>
      <c r="AC192" s="77">
        <v>14849.88</v>
      </c>
      <c r="AD192" s="79">
        <v>0.065</v>
      </c>
      <c r="AE192" s="80">
        <f t="shared" si="66"/>
        <v>476.0098521</v>
      </c>
      <c r="AF192" s="81">
        <v>7215.34</v>
      </c>
      <c r="AG192" s="79">
        <v>0.0675</v>
      </c>
      <c r="AH192" s="80">
        <f t="shared" si="67"/>
        <v>240.1818658</v>
      </c>
      <c r="AI192" s="82">
        <f t="shared" si="68"/>
        <v>22065.22</v>
      </c>
      <c r="AJ192" s="82">
        <f t="shared" si="7"/>
        <v>716.1917178</v>
      </c>
      <c r="AK192" s="83">
        <f t="shared" si="41"/>
        <v>716.1917178</v>
      </c>
      <c r="AL192" s="84">
        <f t="shared" si="42"/>
        <v>2959.091718</v>
      </c>
      <c r="AP192" s="85">
        <f t="shared" si="9"/>
        <v>1</v>
      </c>
      <c r="AQ192" s="20">
        <f t="shared" si="10"/>
        <v>1</v>
      </c>
      <c r="AR192" s="20">
        <f t="shared" si="11"/>
        <v>1</v>
      </c>
      <c r="AS192" s="86">
        <f t="shared" si="12"/>
        <v>9000.35</v>
      </c>
      <c r="AT192" s="87">
        <f t="shared" si="13"/>
        <v>22065.22</v>
      </c>
      <c r="AU192" s="88">
        <f t="shared" si="14"/>
        <v>4.6</v>
      </c>
      <c r="AV192" s="89" t="str">
        <f t="shared" si="15"/>
        <v>#VALUE!</v>
      </c>
      <c r="AW192" s="90" t="str">
        <f t="shared" si="16"/>
        <v>#VALUE!</v>
      </c>
      <c r="AY192" s="85">
        <f t="shared" si="17"/>
        <v>0</v>
      </c>
      <c r="AZ192" s="20">
        <f t="shared" si="18"/>
        <v>1</v>
      </c>
      <c r="BA192" s="20">
        <f t="shared" si="19"/>
        <v>0</v>
      </c>
      <c r="BB192" s="91">
        <f t="shared" si="20"/>
        <v>0</v>
      </c>
      <c r="BC192" s="87">
        <f t="shared" si="21"/>
        <v>0</v>
      </c>
      <c r="BD192" s="92">
        <f t="shared" si="22"/>
        <v>0</v>
      </c>
      <c r="BE192" s="89" t="str">
        <f t="shared" si="23"/>
        <v>#VALUE!</v>
      </c>
      <c r="BF192" s="90">
        <f t="shared" si="24"/>
        <v>0</v>
      </c>
      <c r="BH192" s="93">
        <f t="shared" si="25"/>
        <v>22065.22</v>
      </c>
      <c r="BI192" s="94">
        <f t="shared" si="26"/>
        <v>1</v>
      </c>
      <c r="BJ192" s="95" t="str">
        <f t="shared" si="27"/>
        <v>#VALUE!</v>
      </c>
      <c r="BK192" s="96" t="str">
        <f t="shared" si="28"/>
        <v>#VALUE!</v>
      </c>
      <c r="BM192" s="97">
        <f t="shared" si="29"/>
        <v>1</v>
      </c>
    </row>
    <row r="193" ht="12.75" customHeight="1">
      <c r="A193" s="65"/>
      <c r="B193" s="66" t="s">
        <v>396</v>
      </c>
      <c r="C193" s="67">
        <v>47000.0</v>
      </c>
      <c r="D193" s="68">
        <v>13.0</v>
      </c>
      <c r="E193" s="67">
        <v>39017.57</v>
      </c>
      <c r="F193" s="68" t="s">
        <v>56</v>
      </c>
      <c r="G193" s="69">
        <v>43497.0</v>
      </c>
      <c r="H193" s="71" t="s">
        <v>57</v>
      </c>
      <c r="I193" s="69">
        <v>45168.0</v>
      </c>
      <c r="J193" s="71">
        <v>11.266666666666667</v>
      </c>
      <c r="K193" s="72" t="s">
        <v>397</v>
      </c>
      <c r="L193" s="72">
        <v>82500.0</v>
      </c>
      <c r="M193" s="73">
        <v>2987.0</v>
      </c>
      <c r="N193" s="73">
        <v>11641.51</v>
      </c>
      <c r="O193" s="73">
        <v>4034.36</v>
      </c>
      <c r="P193" s="73">
        <v>0.0</v>
      </c>
      <c r="Q193" s="73">
        <v>0.0</v>
      </c>
      <c r="R193" s="74">
        <v>0.0</v>
      </c>
      <c r="S193" s="74">
        <v>1.0</v>
      </c>
      <c r="T193" s="75"/>
      <c r="V193" s="76">
        <v>412.5</v>
      </c>
      <c r="W193" s="77">
        <f>352.32</f>
        <v>352.32</v>
      </c>
      <c r="X193" s="77">
        <f>53.54</f>
        <v>53.54</v>
      </c>
      <c r="Y193" s="77"/>
      <c r="Z193" s="77">
        <f>321.5+633.5+365.5</f>
        <v>1320.5</v>
      </c>
      <c r="AA193" s="77">
        <v>9687.31</v>
      </c>
      <c r="AB193" s="78">
        <f t="shared" si="38"/>
        <v>11826.17</v>
      </c>
      <c r="AC193" s="77">
        <v>30310.28</v>
      </c>
      <c r="AD193" s="79">
        <v>0.065</v>
      </c>
      <c r="AE193" s="80">
        <f t="shared" si="66"/>
        <v>971.5897973</v>
      </c>
      <c r="AF193" s="81">
        <f>42770.1-35231.83</f>
        <v>7538.27</v>
      </c>
      <c r="AG193" s="79">
        <v>0.0775</v>
      </c>
      <c r="AH193" s="80">
        <f t="shared" si="67"/>
        <v>288.1064836</v>
      </c>
      <c r="AI193" s="82">
        <f t="shared" si="68"/>
        <v>37848.55</v>
      </c>
      <c r="AJ193" s="82">
        <f t="shared" si="7"/>
        <v>1259.696281</v>
      </c>
      <c r="AK193" s="83">
        <f t="shared" si="41"/>
        <v>1259.696281</v>
      </c>
      <c r="AL193" s="84">
        <f t="shared" si="42"/>
        <v>2986.056281</v>
      </c>
      <c r="AP193" s="85">
        <f t="shared" si="9"/>
        <v>1</v>
      </c>
      <c r="AQ193" s="20">
        <f t="shared" si="10"/>
        <v>1</v>
      </c>
      <c r="AR193" s="20">
        <f t="shared" si="11"/>
        <v>1</v>
      </c>
      <c r="AS193" s="86">
        <f t="shared" si="12"/>
        <v>15675.87</v>
      </c>
      <c r="AT193" s="87">
        <f t="shared" si="13"/>
        <v>39017.57</v>
      </c>
      <c r="AU193" s="88">
        <f t="shared" si="14"/>
        <v>11.26666667</v>
      </c>
      <c r="AV193" s="89" t="str">
        <f t="shared" si="15"/>
        <v>#VALUE!</v>
      </c>
      <c r="AW193" s="90" t="str">
        <f t="shared" si="16"/>
        <v>#VALUE!</v>
      </c>
      <c r="AY193" s="85">
        <f t="shared" si="17"/>
        <v>0</v>
      </c>
      <c r="AZ193" s="20">
        <f t="shared" si="18"/>
        <v>1</v>
      </c>
      <c r="BA193" s="20">
        <f t="shared" si="19"/>
        <v>0</v>
      </c>
      <c r="BB193" s="91">
        <f t="shared" si="20"/>
        <v>0</v>
      </c>
      <c r="BC193" s="87">
        <f t="shared" si="21"/>
        <v>0</v>
      </c>
      <c r="BD193" s="92">
        <f t="shared" si="22"/>
        <v>0</v>
      </c>
      <c r="BE193" s="89" t="str">
        <f t="shared" si="23"/>
        <v>#VALUE!</v>
      </c>
      <c r="BF193" s="90">
        <f t="shared" si="24"/>
        <v>0</v>
      </c>
      <c r="BH193" s="93">
        <f t="shared" si="25"/>
        <v>39017.57</v>
      </c>
      <c r="BI193" s="94">
        <f t="shared" si="26"/>
        <v>1</v>
      </c>
      <c r="BJ193" s="95" t="str">
        <f t="shared" si="27"/>
        <v>#VALUE!</v>
      </c>
      <c r="BK193" s="96" t="str">
        <f t="shared" si="28"/>
        <v>#VALUE!</v>
      </c>
      <c r="BM193" s="97">
        <f t="shared" si="29"/>
        <v>1</v>
      </c>
    </row>
    <row r="194" ht="12.75" customHeight="1">
      <c r="A194" s="65"/>
      <c r="B194" s="66" t="s">
        <v>398</v>
      </c>
      <c r="C194" s="67">
        <v>27000.0</v>
      </c>
      <c r="D194" s="68">
        <v>13.0</v>
      </c>
      <c r="E194" s="67">
        <v>24459.97</v>
      </c>
      <c r="F194" s="68" t="s">
        <v>56</v>
      </c>
      <c r="G194" s="69">
        <v>43556.0</v>
      </c>
      <c r="H194" s="71" t="s">
        <v>57</v>
      </c>
      <c r="I194" s="69">
        <v>43828.0</v>
      </c>
      <c r="J194" s="71">
        <f t="shared" ref="J194:J216" si="69">IF(I194="Active",0,(IF(I194="N/A","N/A",(I194-G194)/30)))</f>
        <v>9.066666667</v>
      </c>
      <c r="K194" s="72" t="s">
        <v>399</v>
      </c>
      <c r="L194" s="72">
        <v>44000.0</v>
      </c>
      <c r="M194" s="73">
        <v>1458.37</v>
      </c>
      <c r="N194" s="73">
        <v>5958.97</v>
      </c>
      <c r="O194" s="73">
        <v>1868.0700000000002</v>
      </c>
      <c r="P194" s="73">
        <f t="shared" ref="P194:P390" si="70">IF(L194="N/A",0,IF(L194-E194&gt;0,0,E194-L194))</f>
        <v>0</v>
      </c>
      <c r="Q194" s="73">
        <f t="shared" ref="Q194:Q390" si="71">IF(L194="N/A",0,IF(L194-E194-M194-N194-O194&gt;0,0,(L194-E194-M194-N194-O194)*-1))</f>
        <v>0</v>
      </c>
      <c r="R194" s="74">
        <f t="shared" ref="R194:R390" si="72">IF(J194="N/A","N/A",Q194/E194)</f>
        <v>0</v>
      </c>
      <c r="S194" s="74">
        <f t="shared" ref="S194:S390" si="73">IF(R194="N/A","N/A",MAX(0,1-R194))</f>
        <v>1</v>
      </c>
      <c r="T194" s="75"/>
      <c r="V194" s="76">
        <v>348.0</v>
      </c>
      <c r="W194" s="77">
        <v>6.72</v>
      </c>
      <c r="X194" s="77">
        <v>24.83</v>
      </c>
      <c r="Y194" s="77"/>
      <c r="Z194" s="77">
        <f>107.88+267.38+94.83+55.1+107.3</f>
        <v>632.49</v>
      </c>
      <c r="AA194" s="77">
        <f>2513.16+1367.17</f>
        <v>3880.33</v>
      </c>
      <c r="AB194" s="78">
        <f t="shared" si="38"/>
        <v>4892.37</v>
      </c>
      <c r="AC194" s="77">
        <v>16128.44</v>
      </c>
      <c r="AD194" s="79">
        <v>0.065</v>
      </c>
      <c r="AE194" s="80">
        <f t="shared" si="66"/>
        <v>516.9938301</v>
      </c>
      <c r="AF194" s="81">
        <v>8331.53</v>
      </c>
      <c r="AG194" s="79">
        <v>0.0675</v>
      </c>
      <c r="AH194" s="80">
        <f t="shared" si="67"/>
        <v>277.3372315</v>
      </c>
      <c r="AI194" s="82">
        <f t="shared" si="68"/>
        <v>24459.97</v>
      </c>
      <c r="AJ194" s="82">
        <f t="shared" si="7"/>
        <v>794.3310616</v>
      </c>
      <c r="AK194" s="83">
        <f t="shared" si="41"/>
        <v>794.3310616</v>
      </c>
      <c r="AL194" s="84">
        <f t="shared" si="42"/>
        <v>1458.371062</v>
      </c>
      <c r="AP194" s="85">
        <f t="shared" si="9"/>
        <v>1</v>
      </c>
      <c r="AQ194" s="20">
        <f t="shared" si="10"/>
        <v>1</v>
      </c>
      <c r="AR194" s="20">
        <f t="shared" si="11"/>
        <v>1</v>
      </c>
      <c r="AS194" s="86">
        <f t="shared" si="12"/>
        <v>7827.04</v>
      </c>
      <c r="AT194" s="87">
        <f t="shared" si="13"/>
        <v>24459.97</v>
      </c>
      <c r="AU194" s="88">
        <f t="shared" si="14"/>
        <v>9.066666667</v>
      </c>
      <c r="AV194" s="89" t="str">
        <f t="shared" si="15"/>
        <v>#VALUE!</v>
      </c>
      <c r="AW194" s="90" t="str">
        <f t="shared" si="16"/>
        <v>#VALUE!</v>
      </c>
      <c r="AY194" s="85">
        <f t="shared" si="17"/>
        <v>0</v>
      </c>
      <c r="AZ194" s="20">
        <f t="shared" si="18"/>
        <v>1</v>
      </c>
      <c r="BA194" s="20">
        <f t="shared" si="19"/>
        <v>0</v>
      </c>
      <c r="BB194" s="91">
        <f t="shared" si="20"/>
        <v>0</v>
      </c>
      <c r="BC194" s="87">
        <f t="shared" si="21"/>
        <v>0</v>
      </c>
      <c r="BD194" s="92">
        <f t="shared" si="22"/>
        <v>0</v>
      </c>
      <c r="BE194" s="89" t="str">
        <f t="shared" si="23"/>
        <v>#VALUE!</v>
      </c>
      <c r="BF194" s="90">
        <f t="shared" si="24"/>
        <v>0</v>
      </c>
      <c r="BH194" s="93">
        <f t="shared" si="25"/>
        <v>24459.97</v>
      </c>
      <c r="BI194" s="94">
        <f t="shared" si="26"/>
        <v>1</v>
      </c>
      <c r="BJ194" s="95" t="str">
        <f t="shared" si="27"/>
        <v>#VALUE!</v>
      </c>
      <c r="BK194" s="96" t="str">
        <f t="shared" si="28"/>
        <v>#VALUE!</v>
      </c>
      <c r="BM194" s="97">
        <f t="shared" si="29"/>
        <v>1</v>
      </c>
    </row>
    <row r="195" ht="12.75" customHeight="1">
      <c r="A195" s="65"/>
      <c r="B195" s="66" t="s">
        <v>400</v>
      </c>
      <c r="C195" s="67">
        <v>17997.7</v>
      </c>
      <c r="D195" s="68">
        <v>13.0</v>
      </c>
      <c r="E195" s="67">
        <v>12460.32</v>
      </c>
      <c r="F195" s="68" t="s">
        <v>56</v>
      </c>
      <c r="G195" s="69">
        <v>43647.0</v>
      </c>
      <c r="H195" s="71" t="s">
        <v>57</v>
      </c>
      <c r="I195" s="69">
        <v>43739.0</v>
      </c>
      <c r="J195" s="71">
        <f t="shared" si="69"/>
        <v>3.066666667</v>
      </c>
      <c r="K195" s="72" t="s">
        <v>401</v>
      </c>
      <c r="L195" s="72">
        <v>42500.0</v>
      </c>
      <c r="M195" s="73">
        <v>854.62</v>
      </c>
      <c r="N195" s="73">
        <v>3079.51</v>
      </c>
      <c r="O195" s="73">
        <v>2383.67</v>
      </c>
      <c r="P195" s="73">
        <f t="shared" si="70"/>
        <v>0</v>
      </c>
      <c r="Q195" s="73">
        <f t="shared" si="71"/>
        <v>0</v>
      </c>
      <c r="R195" s="74">
        <f t="shared" si="72"/>
        <v>0</v>
      </c>
      <c r="S195" s="74">
        <f t="shared" si="73"/>
        <v>1</v>
      </c>
      <c r="T195" s="75"/>
      <c r="V195" s="76">
        <v>302.4</v>
      </c>
      <c r="W195" s="77"/>
      <c r="X195" s="77">
        <v>21.17</v>
      </c>
      <c r="Y195" s="77"/>
      <c r="Z195" s="77">
        <f>120.96+255.96+87.84</f>
        <v>464.76</v>
      </c>
      <c r="AA195" s="77">
        <v>2273.58</v>
      </c>
      <c r="AB195" s="78">
        <f t="shared" si="38"/>
        <v>3061.91</v>
      </c>
      <c r="AC195" s="77"/>
      <c r="AD195" s="79">
        <v>0.06</v>
      </c>
      <c r="AE195" s="80">
        <f>((E195*AD195)/365)*180</f>
        <v>368.6889205</v>
      </c>
      <c r="AF195" s="81"/>
      <c r="AG195" s="79"/>
      <c r="AH195" s="80">
        <f>((E195*AG195)/365)*180</f>
        <v>0</v>
      </c>
      <c r="AI195" s="82"/>
      <c r="AJ195" s="82">
        <f t="shared" si="7"/>
        <v>368.6889205</v>
      </c>
      <c r="AK195" s="83">
        <f t="shared" si="41"/>
        <v>368.6889205</v>
      </c>
      <c r="AL195" s="84">
        <f t="shared" si="42"/>
        <v>854.6189205</v>
      </c>
      <c r="AP195" s="85">
        <f t="shared" si="9"/>
        <v>1</v>
      </c>
      <c r="AQ195" s="20">
        <f t="shared" si="10"/>
        <v>1</v>
      </c>
      <c r="AR195" s="20">
        <f t="shared" si="11"/>
        <v>1</v>
      </c>
      <c r="AS195" s="86">
        <f t="shared" si="12"/>
        <v>5463.18</v>
      </c>
      <c r="AT195" s="87">
        <f t="shared" si="13"/>
        <v>12460.32</v>
      </c>
      <c r="AU195" s="88"/>
      <c r="AV195" s="89" t="str">
        <f t="shared" si="15"/>
        <v>#VALUE!</v>
      </c>
      <c r="AW195" s="90" t="str">
        <f t="shared" si="16"/>
        <v>#VALUE!</v>
      </c>
      <c r="AY195" s="85">
        <f t="shared" si="17"/>
        <v>0</v>
      </c>
      <c r="AZ195" s="20">
        <f t="shared" si="18"/>
        <v>1</v>
      </c>
      <c r="BA195" s="20">
        <f t="shared" si="19"/>
        <v>0</v>
      </c>
      <c r="BB195" s="91">
        <f t="shared" si="20"/>
        <v>0</v>
      </c>
      <c r="BC195" s="87">
        <f t="shared" si="21"/>
        <v>0</v>
      </c>
      <c r="BD195" s="92">
        <f t="shared" si="22"/>
        <v>0</v>
      </c>
      <c r="BE195" s="89" t="str">
        <f t="shared" si="23"/>
        <v>#VALUE!</v>
      </c>
      <c r="BF195" s="90">
        <f t="shared" si="24"/>
        <v>0</v>
      </c>
      <c r="BH195" s="93">
        <f t="shared" si="25"/>
        <v>12460.32</v>
      </c>
      <c r="BI195" s="94">
        <f t="shared" si="26"/>
        <v>1</v>
      </c>
      <c r="BJ195" s="95" t="str">
        <f t="shared" si="27"/>
        <v>#VALUE!</v>
      </c>
      <c r="BK195" s="96" t="str">
        <f t="shared" si="28"/>
        <v>#VALUE!</v>
      </c>
      <c r="BM195" s="97">
        <f t="shared" si="29"/>
        <v>1</v>
      </c>
    </row>
    <row r="196" ht="12.75" customHeight="1">
      <c r="A196" s="65"/>
      <c r="B196" s="66" t="s">
        <v>402</v>
      </c>
      <c r="C196" s="67">
        <v>17943.64</v>
      </c>
      <c r="D196" s="68">
        <v>13.0</v>
      </c>
      <c r="E196" s="67">
        <v>16062.61</v>
      </c>
      <c r="F196" s="68" t="s">
        <v>56</v>
      </c>
      <c r="G196" s="69">
        <v>43647.0</v>
      </c>
      <c r="H196" s="71" t="s">
        <v>57</v>
      </c>
      <c r="I196" s="69">
        <v>43828.0</v>
      </c>
      <c r="J196" s="71">
        <f t="shared" si="69"/>
        <v>6.033333333</v>
      </c>
      <c r="K196" s="72" t="s">
        <v>403</v>
      </c>
      <c r="L196" s="72">
        <v>32000.0</v>
      </c>
      <c r="M196" s="73">
        <v>1577.74</v>
      </c>
      <c r="N196" s="73">
        <v>7523.6</v>
      </c>
      <c r="O196" s="73">
        <v>2750.0</v>
      </c>
      <c r="P196" s="73">
        <f t="shared" si="70"/>
        <v>0</v>
      </c>
      <c r="Q196" s="73">
        <f t="shared" si="71"/>
        <v>0</v>
      </c>
      <c r="R196" s="74">
        <f t="shared" si="72"/>
        <v>0</v>
      </c>
      <c r="S196" s="74">
        <f t="shared" si="73"/>
        <v>1</v>
      </c>
      <c r="T196" s="75"/>
      <c r="V196" s="76">
        <v>660.0</v>
      </c>
      <c r="W196" s="77"/>
      <c r="X196" s="77">
        <v>46.2</v>
      </c>
      <c r="Y196" s="77"/>
      <c r="Z196" s="77">
        <f>196.35+698.75+30.53+78.26</f>
        <v>1003.89</v>
      </c>
      <c r="AA196" s="77">
        <f>763+4044.27</f>
        <v>4807.27</v>
      </c>
      <c r="AB196" s="78">
        <f t="shared" si="38"/>
        <v>6517.36</v>
      </c>
      <c r="AC196" s="77">
        <v>13991.36</v>
      </c>
      <c r="AD196" s="79">
        <v>0.065</v>
      </c>
      <c r="AE196" s="80">
        <f t="shared" ref="AE196:AE197" si="74">((AC196*AD196)/365)*180</f>
        <v>448.4901699</v>
      </c>
      <c r="AF196" s="81">
        <v>2071.25</v>
      </c>
      <c r="AG196" s="79">
        <v>0.0775</v>
      </c>
      <c r="AH196" s="80">
        <f t="shared" ref="AH196:AH197" si="75">((AF196*AG196)/365)*180</f>
        <v>79.1614726</v>
      </c>
      <c r="AI196" s="82">
        <f t="shared" ref="AI196:AI197" si="76">AC196+AF196</f>
        <v>16062.61</v>
      </c>
      <c r="AJ196" s="82">
        <f t="shared" si="7"/>
        <v>527.6516425</v>
      </c>
      <c r="AK196" s="83">
        <f t="shared" si="41"/>
        <v>527.6516425</v>
      </c>
      <c r="AL196" s="84">
        <f t="shared" si="42"/>
        <v>1577.741642</v>
      </c>
      <c r="AP196" s="85">
        <f t="shared" si="9"/>
        <v>1</v>
      </c>
      <c r="AQ196" s="20">
        <f t="shared" si="10"/>
        <v>1</v>
      </c>
      <c r="AR196" s="20">
        <f t="shared" si="11"/>
        <v>1</v>
      </c>
      <c r="AS196" s="86">
        <f t="shared" si="12"/>
        <v>10273.6</v>
      </c>
      <c r="AT196" s="87">
        <f t="shared" si="13"/>
        <v>16062.61</v>
      </c>
      <c r="AU196" s="88"/>
      <c r="AV196" s="89" t="str">
        <f t="shared" si="15"/>
        <v>#VALUE!</v>
      </c>
      <c r="AW196" s="90" t="str">
        <f t="shared" si="16"/>
        <v>#VALUE!</v>
      </c>
      <c r="AY196" s="85">
        <f t="shared" si="17"/>
        <v>0</v>
      </c>
      <c r="AZ196" s="20">
        <f t="shared" si="18"/>
        <v>1</v>
      </c>
      <c r="BA196" s="20">
        <f t="shared" si="19"/>
        <v>0</v>
      </c>
      <c r="BB196" s="91">
        <f t="shared" si="20"/>
        <v>0</v>
      </c>
      <c r="BC196" s="87">
        <f t="shared" si="21"/>
        <v>0</v>
      </c>
      <c r="BD196" s="92">
        <f t="shared" si="22"/>
        <v>0</v>
      </c>
      <c r="BE196" s="89" t="str">
        <f t="shared" si="23"/>
        <v>#VALUE!</v>
      </c>
      <c r="BF196" s="90">
        <f t="shared" si="24"/>
        <v>0</v>
      </c>
      <c r="BH196" s="93">
        <f t="shared" si="25"/>
        <v>16062.61</v>
      </c>
      <c r="BI196" s="94">
        <f t="shared" si="26"/>
        <v>1</v>
      </c>
      <c r="BJ196" s="95" t="str">
        <f t="shared" si="27"/>
        <v>#VALUE!</v>
      </c>
      <c r="BK196" s="96" t="str">
        <f t="shared" si="28"/>
        <v>#VALUE!</v>
      </c>
      <c r="BM196" s="97">
        <f t="shared" si="29"/>
        <v>1</v>
      </c>
    </row>
    <row r="197" ht="12.75" customHeight="1">
      <c r="A197" s="65"/>
      <c r="B197" s="66" t="s">
        <v>404</v>
      </c>
      <c r="C197" s="67">
        <v>30160.13</v>
      </c>
      <c r="D197" s="68">
        <v>13.0</v>
      </c>
      <c r="E197" s="67">
        <v>28271.86</v>
      </c>
      <c r="F197" s="68" t="s">
        <v>56</v>
      </c>
      <c r="G197" s="69">
        <v>43709.0</v>
      </c>
      <c r="H197" s="71" t="s">
        <v>57</v>
      </c>
      <c r="I197" s="69">
        <v>43828.0</v>
      </c>
      <c r="J197" s="71">
        <f t="shared" si="69"/>
        <v>3.966666667</v>
      </c>
      <c r="K197" s="72" t="s">
        <v>405</v>
      </c>
      <c r="L197" s="72">
        <v>52000.0</v>
      </c>
      <c r="M197" s="73">
        <v>2206.1</v>
      </c>
      <c r="N197" s="73">
        <v>6310.54</v>
      </c>
      <c r="O197" s="73">
        <v>60.0</v>
      </c>
      <c r="P197" s="73">
        <f t="shared" si="70"/>
        <v>0</v>
      </c>
      <c r="Q197" s="73">
        <f t="shared" si="71"/>
        <v>0</v>
      </c>
      <c r="R197" s="74">
        <f t="shared" si="72"/>
        <v>0</v>
      </c>
      <c r="S197" s="74">
        <f t="shared" si="73"/>
        <v>1</v>
      </c>
      <c r="T197" s="75"/>
      <c r="V197" s="76">
        <v>304.0</v>
      </c>
      <c r="W197" s="77"/>
      <c r="X197" s="77">
        <v>21.28</v>
      </c>
      <c r="Y197" s="77">
        <v>446.08</v>
      </c>
      <c r="Z197" s="77">
        <f>120.46+215.08+177.08+139.84+145.54</f>
        <v>798</v>
      </c>
      <c r="AA197" s="77">
        <f>3233.6+2960.91</f>
        <v>6194.51</v>
      </c>
      <c r="AB197" s="78">
        <f t="shared" si="38"/>
        <v>7763.87</v>
      </c>
      <c r="AC197" s="77">
        <v>14284.08</v>
      </c>
      <c r="AD197" s="79">
        <v>0.065</v>
      </c>
      <c r="AE197" s="80">
        <f t="shared" si="74"/>
        <v>457.8732493</v>
      </c>
      <c r="AF197" s="81">
        <v>13987.78</v>
      </c>
      <c r="AG197" s="79">
        <v>0.07</v>
      </c>
      <c r="AH197" s="80">
        <f t="shared" si="75"/>
        <v>482.8658301</v>
      </c>
      <c r="AI197" s="82">
        <f t="shared" si="76"/>
        <v>28271.86</v>
      </c>
      <c r="AJ197" s="82">
        <f t="shared" si="7"/>
        <v>940.7390795</v>
      </c>
      <c r="AK197" s="83">
        <f t="shared" si="41"/>
        <v>940.7390795</v>
      </c>
      <c r="AL197" s="84">
        <f t="shared" si="42"/>
        <v>2206.099079</v>
      </c>
      <c r="AP197" s="85">
        <f t="shared" si="9"/>
        <v>1</v>
      </c>
      <c r="AQ197" s="20">
        <f t="shared" si="10"/>
        <v>1</v>
      </c>
      <c r="AR197" s="20">
        <f t="shared" si="11"/>
        <v>1</v>
      </c>
      <c r="AS197" s="86">
        <f t="shared" si="12"/>
        <v>6370.54</v>
      </c>
      <c r="AT197" s="87">
        <f t="shared" si="13"/>
        <v>28271.86</v>
      </c>
      <c r="AU197" s="88"/>
      <c r="AV197" s="89" t="str">
        <f t="shared" si="15"/>
        <v>#VALUE!</v>
      </c>
      <c r="AW197" s="90" t="str">
        <f t="shared" si="16"/>
        <v>#VALUE!</v>
      </c>
      <c r="AY197" s="85">
        <f t="shared" si="17"/>
        <v>0</v>
      </c>
      <c r="AZ197" s="20">
        <f t="shared" si="18"/>
        <v>1</v>
      </c>
      <c r="BA197" s="20">
        <f t="shared" si="19"/>
        <v>0</v>
      </c>
      <c r="BB197" s="91">
        <f t="shared" si="20"/>
        <v>0</v>
      </c>
      <c r="BC197" s="87">
        <f t="shared" si="21"/>
        <v>0</v>
      </c>
      <c r="BD197" s="92">
        <f t="shared" si="22"/>
        <v>0</v>
      </c>
      <c r="BE197" s="89" t="str">
        <f t="shared" si="23"/>
        <v>#VALUE!</v>
      </c>
      <c r="BF197" s="90">
        <f t="shared" si="24"/>
        <v>0</v>
      </c>
      <c r="BH197" s="93">
        <f t="shared" si="25"/>
        <v>28271.86</v>
      </c>
      <c r="BI197" s="94">
        <f t="shared" si="26"/>
        <v>1</v>
      </c>
      <c r="BJ197" s="95" t="str">
        <f t="shared" si="27"/>
        <v>#VALUE!</v>
      </c>
      <c r="BK197" s="96" t="str">
        <f t="shared" si="28"/>
        <v>#VALUE!</v>
      </c>
      <c r="BM197" s="97">
        <f t="shared" si="29"/>
        <v>1</v>
      </c>
    </row>
    <row r="198" ht="12.75" customHeight="1">
      <c r="A198" s="65"/>
      <c r="B198" s="66" t="s">
        <v>406</v>
      </c>
      <c r="C198" s="67">
        <v>45000.0</v>
      </c>
      <c r="D198" s="68">
        <v>13.0</v>
      </c>
      <c r="E198" s="67">
        <v>43317.5</v>
      </c>
      <c r="F198" s="68" t="s">
        <v>56</v>
      </c>
      <c r="G198" s="69">
        <v>43709.0</v>
      </c>
      <c r="H198" s="71" t="s">
        <v>57</v>
      </c>
      <c r="I198" s="69">
        <v>43893.0</v>
      </c>
      <c r="J198" s="71">
        <f t="shared" si="69"/>
        <v>6.133333333</v>
      </c>
      <c r="K198" s="72" t="s">
        <v>407</v>
      </c>
      <c r="L198" s="72">
        <v>75000.0</v>
      </c>
      <c r="M198" s="73">
        <v>1873.94</v>
      </c>
      <c r="N198" s="73">
        <v>6140.41</v>
      </c>
      <c r="O198" s="73">
        <v>2430.88</v>
      </c>
      <c r="P198" s="73">
        <f t="shared" si="70"/>
        <v>0</v>
      </c>
      <c r="Q198" s="73">
        <f t="shared" si="71"/>
        <v>0</v>
      </c>
      <c r="R198" s="74">
        <f t="shared" si="72"/>
        <v>0</v>
      </c>
      <c r="S198" s="74">
        <f t="shared" si="73"/>
        <v>1</v>
      </c>
      <c r="T198" s="75"/>
      <c r="V198" s="76">
        <v>291.33</v>
      </c>
      <c r="W198" s="77"/>
      <c r="X198" s="77">
        <v>20.39</v>
      </c>
      <c r="Y198" s="77"/>
      <c r="Z198" s="77">
        <f>247.32+204.12+141.75</f>
        <v>593.19</v>
      </c>
      <c r="AA198" s="77">
        <v>5838.85</v>
      </c>
      <c r="AB198" s="78">
        <f t="shared" si="38"/>
        <v>6743.76</v>
      </c>
      <c r="AC198" s="77"/>
      <c r="AD198" s="79">
        <v>0.059</v>
      </c>
      <c r="AE198" s="80">
        <f t="shared" ref="AE198:AE199" si="77">((E198*AD198)/365)*180</f>
        <v>1260.361233</v>
      </c>
      <c r="AF198" s="81"/>
      <c r="AG198" s="79"/>
      <c r="AH198" s="80">
        <f t="shared" ref="AH198:AH199" si="78">((E198*AG198)/365)*180</f>
        <v>0</v>
      </c>
      <c r="AI198" s="82"/>
      <c r="AJ198" s="82">
        <f t="shared" si="7"/>
        <v>1260.361233</v>
      </c>
      <c r="AK198" s="83">
        <f t="shared" si="41"/>
        <v>1260.361233</v>
      </c>
      <c r="AL198" s="84">
        <f t="shared" si="42"/>
        <v>1873.941233</v>
      </c>
      <c r="AP198" s="85">
        <f t="shared" si="9"/>
        <v>1</v>
      </c>
      <c r="AQ198" s="20">
        <f t="shared" si="10"/>
        <v>1</v>
      </c>
      <c r="AR198" s="20">
        <f t="shared" si="11"/>
        <v>1</v>
      </c>
      <c r="AS198" s="86">
        <f t="shared" si="12"/>
        <v>8571.29</v>
      </c>
      <c r="AT198" s="87">
        <f t="shared" si="13"/>
        <v>43317.5</v>
      </c>
      <c r="AU198" s="88"/>
      <c r="AV198" s="89" t="str">
        <f t="shared" si="15"/>
        <v>#VALUE!</v>
      </c>
      <c r="AW198" s="90" t="str">
        <f t="shared" si="16"/>
        <v>#VALUE!</v>
      </c>
      <c r="AY198" s="85">
        <f t="shared" si="17"/>
        <v>0</v>
      </c>
      <c r="AZ198" s="20">
        <f t="shared" si="18"/>
        <v>1</v>
      </c>
      <c r="BA198" s="20">
        <f t="shared" si="19"/>
        <v>0</v>
      </c>
      <c r="BB198" s="91">
        <f t="shared" si="20"/>
        <v>0</v>
      </c>
      <c r="BC198" s="87">
        <f t="shared" si="21"/>
        <v>0</v>
      </c>
      <c r="BD198" s="92">
        <f t="shared" si="22"/>
        <v>0</v>
      </c>
      <c r="BE198" s="89" t="str">
        <f t="shared" si="23"/>
        <v>#VALUE!</v>
      </c>
      <c r="BF198" s="90">
        <f t="shared" si="24"/>
        <v>0</v>
      </c>
      <c r="BH198" s="93">
        <f t="shared" si="25"/>
        <v>43317.5</v>
      </c>
      <c r="BI198" s="94">
        <f t="shared" si="26"/>
        <v>1</v>
      </c>
      <c r="BJ198" s="95" t="str">
        <f t="shared" si="27"/>
        <v>#VALUE!</v>
      </c>
      <c r="BK198" s="96" t="str">
        <f t="shared" si="28"/>
        <v>#VALUE!</v>
      </c>
      <c r="BM198" s="97">
        <f t="shared" si="29"/>
        <v>1</v>
      </c>
    </row>
    <row r="199" ht="12.75" customHeight="1">
      <c r="A199" s="65"/>
      <c r="B199" s="66" t="s">
        <v>408</v>
      </c>
      <c r="C199" s="67">
        <v>30350.0</v>
      </c>
      <c r="D199" s="68">
        <v>13.0</v>
      </c>
      <c r="E199" s="67">
        <v>26792.6</v>
      </c>
      <c r="F199" s="68" t="s">
        <v>56</v>
      </c>
      <c r="G199" s="69">
        <v>43739.0</v>
      </c>
      <c r="H199" s="71" t="s">
        <v>57</v>
      </c>
      <c r="I199" s="69">
        <v>43893.0</v>
      </c>
      <c r="J199" s="71">
        <f t="shared" si="69"/>
        <v>5.133333333</v>
      </c>
      <c r="K199" s="72" t="s">
        <v>409</v>
      </c>
      <c r="L199" s="72">
        <v>45000.0</v>
      </c>
      <c r="M199" s="73">
        <v>510.9</v>
      </c>
      <c r="N199" s="73">
        <v>4483.09</v>
      </c>
      <c r="O199" s="73">
        <v>691.65</v>
      </c>
      <c r="P199" s="73">
        <f t="shared" si="70"/>
        <v>0</v>
      </c>
      <c r="Q199" s="73">
        <f t="shared" si="71"/>
        <v>0</v>
      </c>
      <c r="R199" s="74">
        <f t="shared" si="72"/>
        <v>0</v>
      </c>
      <c r="S199" s="74">
        <f t="shared" si="73"/>
        <v>1</v>
      </c>
      <c r="T199" s="75"/>
      <c r="V199" s="76">
        <v>312.0</v>
      </c>
      <c r="W199" s="77"/>
      <c r="X199" s="77">
        <v>21.84</v>
      </c>
      <c r="Y199" s="77"/>
      <c r="Z199" s="77">
        <f>170.43+136.89+181.74</f>
        <v>489.06</v>
      </c>
      <c r="AA199" s="77"/>
      <c r="AB199" s="78">
        <f t="shared" si="38"/>
        <v>822.9</v>
      </c>
      <c r="AC199" s="77"/>
      <c r="AD199" s="79">
        <v>0.0</v>
      </c>
      <c r="AE199" s="80">
        <f t="shared" si="77"/>
        <v>0</v>
      </c>
      <c r="AF199" s="81"/>
      <c r="AG199" s="79"/>
      <c r="AH199" s="80">
        <f t="shared" si="78"/>
        <v>0</v>
      </c>
      <c r="AI199" s="82"/>
      <c r="AJ199" s="82">
        <f t="shared" si="7"/>
        <v>0</v>
      </c>
      <c r="AK199" s="83" t="str">
        <f t="shared" si="41"/>
        <v/>
      </c>
      <c r="AL199" s="84">
        <f t="shared" si="42"/>
        <v>510.9</v>
      </c>
      <c r="AP199" s="85">
        <f t="shared" si="9"/>
        <v>1</v>
      </c>
      <c r="AQ199" s="20">
        <f t="shared" si="10"/>
        <v>1</v>
      </c>
      <c r="AR199" s="20">
        <f t="shared" si="11"/>
        <v>1</v>
      </c>
      <c r="AS199" s="86">
        <f t="shared" si="12"/>
        <v>5174.74</v>
      </c>
      <c r="AT199" s="87">
        <f t="shared" si="13"/>
        <v>26792.6</v>
      </c>
      <c r="AU199" s="88"/>
      <c r="AV199" s="89" t="str">
        <f t="shared" si="15"/>
        <v>#VALUE!</v>
      </c>
      <c r="AW199" s="90" t="str">
        <f t="shared" si="16"/>
        <v>#VALUE!</v>
      </c>
      <c r="AY199" s="85">
        <f t="shared" si="17"/>
        <v>0</v>
      </c>
      <c r="AZ199" s="20">
        <f t="shared" si="18"/>
        <v>1</v>
      </c>
      <c r="BA199" s="20">
        <f t="shared" si="19"/>
        <v>0</v>
      </c>
      <c r="BB199" s="91">
        <f t="shared" si="20"/>
        <v>0</v>
      </c>
      <c r="BC199" s="87">
        <f t="shared" si="21"/>
        <v>0</v>
      </c>
      <c r="BD199" s="92">
        <f t="shared" si="22"/>
        <v>0</v>
      </c>
      <c r="BE199" s="89" t="str">
        <f t="shared" si="23"/>
        <v>#VALUE!</v>
      </c>
      <c r="BF199" s="90">
        <f t="shared" si="24"/>
        <v>0</v>
      </c>
      <c r="BH199" s="93">
        <f t="shared" si="25"/>
        <v>26792.6</v>
      </c>
      <c r="BI199" s="94">
        <f t="shared" si="26"/>
        <v>1</v>
      </c>
      <c r="BJ199" s="95" t="str">
        <f t="shared" si="27"/>
        <v>#VALUE!</v>
      </c>
      <c r="BK199" s="96" t="str">
        <f t="shared" si="28"/>
        <v>#VALUE!</v>
      </c>
      <c r="BM199" s="97">
        <f t="shared" si="29"/>
        <v>1</v>
      </c>
    </row>
    <row r="200" ht="12.75" customHeight="1">
      <c r="A200" s="65"/>
      <c r="B200" s="66" t="s">
        <v>410</v>
      </c>
      <c r="C200" s="67">
        <v>19350.0</v>
      </c>
      <c r="D200" s="68">
        <v>13.0</v>
      </c>
      <c r="E200" s="67">
        <v>15652.08</v>
      </c>
      <c r="F200" s="68" t="s">
        <v>56</v>
      </c>
      <c r="G200" s="69">
        <v>43755.0</v>
      </c>
      <c r="H200" s="71" t="s">
        <v>57</v>
      </c>
      <c r="I200" s="69">
        <v>43828.0</v>
      </c>
      <c r="J200" s="71">
        <f t="shared" si="69"/>
        <v>2.433333333</v>
      </c>
      <c r="K200" s="72" t="s">
        <v>411</v>
      </c>
      <c r="L200" s="72">
        <v>50000.0</v>
      </c>
      <c r="M200" s="73">
        <v>608.92</v>
      </c>
      <c r="N200" s="73">
        <v>4629.09</v>
      </c>
      <c r="O200" s="73">
        <v>0.0</v>
      </c>
      <c r="P200" s="73">
        <f t="shared" si="70"/>
        <v>0</v>
      </c>
      <c r="Q200" s="73">
        <f t="shared" si="71"/>
        <v>0</v>
      </c>
      <c r="R200" s="74">
        <f t="shared" si="72"/>
        <v>0</v>
      </c>
      <c r="S200" s="74">
        <f t="shared" si="73"/>
        <v>1</v>
      </c>
      <c r="T200" s="75"/>
      <c r="V200" s="76">
        <v>150.0</v>
      </c>
      <c r="W200" s="77"/>
      <c r="X200" s="77">
        <v>10.5</v>
      </c>
      <c r="Y200" s="77"/>
      <c r="Z200" s="77">
        <v>71.5</v>
      </c>
      <c r="AA200" s="77">
        <f>650.81+1544.67</f>
        <v>2195.48</v>
      </c>
      <c r="AB200" s="78">
        <f t="shared" si="38"/>
        <v>2427.48</v>
      </c>
      <c r="AC200" s="77">
        <v>11565.25</v>
      </c>
      <c r="AD200" s="79">
        <v>0.065</v>
      </c>
      <c r="AE200" s="80">
        <f>((AC200*AD200)/365)*180</f>
        <v>370.7217123</v>
      </c>
      <c r="AF200" s="81">
        <v>4086.83</v>
      </c>
      <c r="AG200" s="79">
        <v>0.0775</v>
      </c>
      <c r="AH200" s="80">
        <f t="shared" ref="AH200:AH205" si="79">((AF200*AG200)/365)*180</f>
        <v>156.1952836</v>
      </c>
      <c r="AI200" s="82">
        <f>AC200+AF200</f>
        <v>15652.08</v>
      </c>
      <c r="AJ200" s="82">
        <f t="shared" si="7"/>
        <v>526.9169959</v>
      </c>
      <c r="AK200" s="83">
        <f t="shared" si="41"/>
        <v>526.9169959</v>
      </c>
      <c r="AL200" s="84">
        <f t="shared" si="42"/>
        <v>608.9169959</v>
      </c>
      <c r="AP200" s="85">
        <f t="shared" si="9"/>
        <v>1</v>
      </c>
      <c r="AQ200" s="20">
        <f t="shared" si="10"/>
        <v>1</v>
      </c>
      <c r="AR200" s="20">
        <f t="shared" si="11"/>
        <v>1</v>
      </c>
      <c r="AS200" s="86">
        <f t="shared" si="12"/>
        <v>4629.09</v>
      </c>
      <c r="AT200" s="87">
        <f t="shared" si="13"/>
        <v>15652.08</v>
      </c>
      <c r="AU200" s="88"/>
      <c r="AV200" s="89" t="str">
        <f t="shared" si="15"/>
        <v>#VALUE!</v>
      </c>
      <c r="AW200" s="90" t="str">
        <f t="shared" si="16"/>
        <v>#VALUE!</v>
      </c>
      <c r="AY200" s="85">
        <f t="shared" si="17"/>
        <v>0</v>
      </c>
      <c r="AZ200" s="20">
        <f t="shared" si="18"/>
        <v>1</v>
      </c>
      <c r="BA200" s="20">
        <f t="shared" si="19"/>
        <v>0</v>
      </c>
      <c r="BB200" s="91">
        <f t="shared" si="20"/>
        <v>0</v>
      </c>
      <c r="BC200" s="87">
        <f t="shared" si="21"/>
        <v>0</v>
      </c>
      <c r="BD200" s="92">
        <f t="shared" si="22"/>
        <v>0</v>
      </c>
      <c r="BE200" s="89" t="str">
        <f t="shared" si="23"/>
        <v>#VALUE!</v>
      </c>
      <c r="BF200" s="90">
        <f t="shared" si="24"/>
        <v>0</v>
      </c>
      <c r="BH200" s="93">
        <f t="shared" si="25"/>
        <v>15652.08</v>
      </c>
      <c r="BI200" s="94">
        <f t="shared" si="26"/>
        <v>1</v>
      </c>
      <c r="BJ200" s="95" t="str">
        <f t="shared" si="27"/>
        <v>#VALUE!</v>
      </c>
      <c r="BK200" s="96" t="str">
        <f t="shared" si="28"/>
        <v>#VALUE!</v>
      </c>
      <c r="BM200" s="97">
        <f t="shared" si="29"/>
        <v>1</v>
      </c>
    </row>
    <row r="201" ht="12.75" customHeight="1">
      <c r="A201" s="65"/>
      <c r="B201" s="66" t="s">
        <v>412</v>
      </c>
      <c r="C201" s="67">
        <v>29760.0</v>
      </c>
      <c r="D201" s="68">
        <v>13.0</v>
      </c>
      <c r="E201" s="67">
        <v>22425.83</v>
      </c>
      <c r="F201" s="68" t="s">
        <v>56</v>
      </c>
      <c r="G201" s="69">
        <v>43770.0</v>
      </c>
      <c r="H201" s="71" t="s">
        <v>57</v>
      </c>
      <c r="I201" s="69">
        <v>44273.0</v>
      </c>
      <c r="J201" s="71">
        <f t="shared" si="69"/>
        <v>16.76666667</v>
      </c>
      <c r="K201" s="72" t="s">
        <v>413</v>
      </c>
      <c r="L201" s="72">
        <v>55000.0</v>
      </c>
      <c r="M201" s="73">
        <v>1635.29</v>
      </c>
      <c r="N201" s="73">
        <v>7865.13</v>
      </c>
      <c r="O201" s="73">
        <v>4525.89</v>
      </c>
      <c r="P201" s="73">
        <f t="shared" si="70"/>
        <v>0</v>
      </c>
      <c r="Q201" s="73">
        <f t="shared" si="71"/>
        <v>0</v>
      </c>
      <c r="R201" s="74">
        <f t="shared" si="72"/>
        <v>0</v>
      </c>
      <c r="S201" s="74">
        <f t="shared" si="73"/>
        <v>1</v>
      </c>
      <c r="T201" s="75"/>
      <c r="V201" s="76">
        <v>247.5</v>
      </c>
      <c r="W201" s="77"/>
      <c r="X201" s="77">
        <v>17.33</v>
      </c>
      <c r="Y201" s="77"/>
      <c r="Z201" s="77">
        <f>118.8+590.7+189.6</f>
        <v>899.1</v>
      </c>
      <c r="AA201" s="77">
        <v>3221.94</v>
      </c>
      <c r="AB201" s="78">
        <f t="shared" si="38"/>
        <v>4385.87</v>
      </c>
      <c r="AC201" s="77"/>
      <c r="AD201" s="79">
        <v>0.065</v>
      </c>
      <c r="AE201" s="80">
        <f t="shared" ref="AE201:AE204" si="80">((E201*AD201)/365)*180</f>
        <v>718.8553726</v>
      </c>
      <c r="AF201" s="81"/>
      <c r="AG201" s="79"/>
      <c r="AH201" s="80">
        <f t="shared" si="79"/>
        <v>0</v>
      </c>
      <c r="AI201" s="82"/>
      <c r="AJ201" s="82">
        <f t="shared" si="7"/>
        <v>718.8553726</v>
      </c>
      <c r="AK201" s="83">
        <f t="shared" si="41"/>
        <v>718.8553726</v>
      </c>
      <c r="AL201" s="84">
        <f t="shared" si="42"/>
        <v>1635.285373</v>
      </c>
      <c r="AP201" s="85">
        <f t="shared" si="9"/>
        <v>1</v>
      </c>
      <c r="AQ201" s="20">
        <f t="shared" si="10"/>
        <v>1</v>
      </c>
      <c r="AR201" s="20">
        <f t="shared" si="11"/>
        <v>1</v>
      </c>
      <c r="AS201" s="86">
        <f t="shared" si="12"/>
        <v>12391.02</v>
      </c>
      <c r="AT201" s="87">
        <f t="shared" si="13"/>
        <v>22425.83</v>
      </c>
      <c r="AU201" s="88">
        <f t="shared" ref="AU201:AU389" si="81">IF(AR201=1,J201,0)</f>
        <v>16.76666667</v>
      </c>
      <c r="AV201" s="89" t="str">
        <f t="shared" si="15"/>
        <v>#VALUE!</v>
      </c>
      <c r="AW201" s="90" t="str">
        <f t="shared" si="16"/>
        <v>#VALUE!</v>
      </c>
      <c r="AY201" s="85">
        <f t="shared" si="17"/>
        <v>0</v>
      </c>
      <c r="AZ201" s="20">
        <f t="shared" si="18"/>
        <v>1</v>
      </c>
      <c r="BA201" s="20">
        <f t="shared" si="19"/>
        <v>0</v>
      </c>
      <c r="BB201" s="91">
        <f t="shared" si="20"/>
        <v>0</v>
      </c>
      <c r="BC201" s="87">
        <f t="shared" si="21"/>
        <v>0</v>
      </c>
      <c r="BD201" s="92">
        <f t="shared" si="22"/>
        <v>0</v>
      </c>
      <c r="BE201" s="89" t="str">
        <f t="shared" si="23"/>
        <v>#VALUE!</v>
      </c>
      <c r="BF201" s="90">
        <f t="shared" si="24"/>
        <v>0</v>
      </c>
      <c r="BH201" s="93">
        <f t="shared" si="25"/>
        <v>22425.83</v>
      </c>
      <c r="BI201" s="94">
        <f t="shared" si="26"/>
        <v>1</v>
      </c>
      <c r="BJ201" s="95" t="str">
        <f t="shared" si="27"/>
        <v>#VALUE!</v>
      </c>
      <c r="BK201" s="96" t="str">
        <f t="shared" si="28"/>
        <v>#VALUE!</v>
      </c>
      <c r="BM201" s="97">
        <f t="shared" si="29"/>
        <v>1</v>
      </c>
    </row>
    <row r="202" ht="12.75" customHeight="1">
      <c r="A202" s="65"/>
      <c r="B202" s="66" t="s">
        <v>414</v>
      </c>
      <c r="C202" s="67">
        <v>24750.0</v>
      </c>
      <c r="D202" s="68">
        <v>13.0</v>
      </c>
      <c r="E202" s="67">
        <v>18814.99</v>
      </c>
      <c r="F202" s="68" t="s">
        <v>56</v>
      </c>
      <c r="G202" s="69">
        <v>43790.0</v>
      </c>
      <c r="H202" s="71" t="s">
        <v>57</v>
      </c>
      <c r="I202" s="69">
        <v>44924.0</v>
      </c>
      <c r="J202" s="71">
        <f t="shared" si="69"/>
        <v>37.8</v>
      </c>
      <c r="K202" s="72" t="s">
        <v>415</v>
      </c>
      <c r="L202" s="72">
        <v>45000.0</v>
      </c>
      <c r="M202" s="73">
        <v>921.7672013698632</v>
      </c>
      <c r="N202" s="73">
        <v>5698.83</v>
      </c>
      <c r="O202" s="73">
        <v>435.35</v>
      </c>
      <c r="P202" s="73">
        <f t="shared" si="70"/>
        <v>0</v>
      </c>
      <c r="Q202" s="73">
        <f t="shared" si="71"/>
        <v>0</v>
      </c>
      <c r="R202" s="74">
        <f t="shared" si="72"/>
        <v>0</v>
      </c>
      <c r="S202" s="74">
        <f t="shared" si="73"/>
        <v>1</v>
      </c>
      <c r="T202" s="75"/>
      <c r="V202" s="76">
        <v>136.0</v>
      </c>
      <c r="W202" s="77"/>
      <c r="X202" s="77">
        <v>9.52</v>
      </c>
      <c r="Y202" s="77"/>
      <c r="Z202" s="77">
        <f>56.61+159.12+70.21</f>
        <v>285.94</v>
      </c>
      <c r="AA202" s="77">
        <v>1837.17</v>
      </c>
      <c r="AB202" s="78">
        <f t="shared" si="38"/>
        <v>2268.63</v>
      </c>
      <c r="AC202" s="77"/>
      <c r="AD202" s="79">
        <v>0.0675</v>
      </c>
      <c r="AE202" s="80">
        <f t="shared" si="80"/>
        <v>626.3072014</v>
      </c>
      <c r="AF202" s="81"/>
      <c r="AG202" s="79"/>
      <c r="AH202" s="80">
        <f t="shared" si="79"/>
        <v>0</v>
      </c>
      <c r="AI202" s="82"/>
      <c r="AJ202" s="82">
        <f t="shared" si="7"/>
        <v>626.3072014</v>
      </c>
      <c r="AK202" s="83">
        <f t="shared" si="41"/>
        <v>626.3072014</v>
      </c>
      <c r="AL202" s="84">
        <f t="shared" si="42"/>
        <v>921.7672014</v>
      </c>
      <c r="AP202" s="85">
        <f t="shared" si="9"/>
        <v>1</v>
      </c>
      <c r="AQ202" s="20">
        <f t="shared" si="10"/>
        <v>1</v>
      </c>
      <c r="AR202" s="20">
        <f t="shared" si="11"/>
        <v>1</v>
      </c>
      <c r="AS202" s="86">
        <f t="shared" si="12"/>
        <v>6134.18</v>
      </c>
      <c r="AT202" s="87">
        <f t="shared" si="13"/>
        <v>18814.99</v>
      </c>
      <c r="AU202" s="88">
        <f t="shared" si="81"/>
        <v>37.8</v>
      </c>
      <c r="AV202" s="89" t="str">
        <f t="shared" si="15"/>
        <v>#VALUE!</v>
      </c>
      <c r="AW202" s="90" t="str">
        <f t="shared" si="16"/>
        <v>#VALUE!</v>
      </c>
      <c r="AY202" s="85">
        <f t="shared" si="17"/>
        <v>0</v>
      </c>
      <c r="AZ202" s="20">
        <f t="shared" si="18"/>
        <v>1</v>
      </c>
      <c r="BA202" s="20">
        <f t="shared" si="19"/>
        <v>0</v>
      </c>
      <c r="BB202" s="91">
        <f t="shared" si="20"/>
        <v>0</v>
      </c>
      <c r="BC202" s="87">
        <f t="shared" si="21"/>
        <v>0</v>
      </c>
      <c r="BD202" s="92">
        <f t="shared" si="22"/>
        <v>0</v>
      </c>
      <c r="BE202" s="89" t="str">
        <f t="shared" si="23"/>
        <v>#VALUE!</v>
      </c>
      <c r="BF202" s="90">
        <f t="shared" si="24"/>
        <v>0</v>
      </c>
      <c r="BH202" s="93">
        <f t="shared" si="25"/>
        <v>18814.99</v>
      </c>
      <c r="BI202" s="94">
        <f t="shared" si="26"/>
        <v>1</v>
      </c>
      <c r="BJ202" s="95" t="str">
        <f t="shared" si="27"/>
        <v>#VALUE!</v>
      </c>
      <c r="BK202" s="96" t="str">
        <f t="shared" si="28"/>
        <v>#VALUE!</v>
      </c>
      <c r="BM202" s="97">
        <f t="shared" si="29"/>
        <v>1</v>
      </c>
    </row>
    <row r="203" ht="12.75" customHeight="1">
      <c r="A203" s="65"/>
      <c r="B203" s="66" t="s">
        <v>416</v>
      </c>
      <c r="C203" s="67">
        <v>53181.81</v>
      </c>
      <c r="D203" s="68">
        <v>13.0</v>
      </c>
      <c r="E203" s="67">
        <v>46976.42</v>
      </c>
      <c r="F203" s="68" t="s">
        <v>56</v>
      </c>
      <c r="G203" s="69">
        <v>43796.0</v>
      </c>
      <c r="H203" s="71" t="s">
        <v>57</v>
      </c>
      <c r="I203" s="69">
        <v>44714.0</v>
      </c>
      <c r="J203" s="71">
        <f t="shared" si="69"/>
        <v>30.6</v>
      </c>
      <c r="K203" s="72" t="s">
        <v>417</v>
      </c>
      <c r="L203" s="72">
        <v>73000.0</v>
      </c>
      <c r="M203" s="73">
        <v>1712.31</v>
      </c>
      <c r="N203" s="73">
        <v>3955.78</v>
      </c>
      <c r="O203" s="73">
        <v>4062.0</v>
      </c>
      <c r="P203" s="73">
        <f t="shared" si="70"/>
        <v>0</v>
      </c>
      <c r="Q203" s="73">
        <f t="shared" si="71"/>
        <v>0</v>
      </c>
      <c r="R203" s="74">
        <f t="shared" si="72"/>
        <v>0</v>
      </c>
      <c r="S203" s="74">
        <f t="shared" si="73"/>
        <v>1</v>
      </c>
      <c r="T203" s="75"/>
      <c r="V203" s="76">
        <v>208.0</v>
      </c>
      <c r="W203" s="77"/>
      <c r="X203" s="77">
        <v>14.56</v>
      </c>
      <c r="Y203" s="77"/>
      <c r="Z203" s="77">
        <f>185.64+755.3+235.56</f>
        <v>1176.5</v>
      </c>
      <c r="AA203" s="77">
        <v>2354.29</v>
      </c>
      <c r="AB203" s="78">
        <f t="shared" si="38"/>
        <v>3753.35</v>
      </c>
      <c r="AC203" s="77"/>
      <c r="AD203" s="79">
        <v>0.0225</v>
      </c>
      <c r="AE203" s="80">
        <f t="shared" si="80"/>
        <v>521.2452082</v>
      </c>
      <c r="AF203" s="81"/>
      <c r="AG203" s="79"/>
      <c r="AH203" s="80">
        <f t="shared" si="79"/>
        <v>0</v>
      </c>
      <c r="AI203" s="82"/>
      <c r="AJ203" s="82">
        <f t="shared" si="7"/>
        <v>521.2452082</v>
      </c>
      <c r="AK203" s="83">
        <f t="shared" si="41"/>
        <v>521.2452082</v>
      </c>
      <c r="AL203" s="84">
        <f t="shared" si="42"/>
        <v>1712.305208</v>
      </c>
      <c r="AP203" s="85">
        <f t="shared" si="9"/>
        <v>1</v>
      </c>
      <c r="AQ203" s="20">
        <f t="shared" si="10"/>
        <v>1</v>
      </c>
      <c r="AR203" s="20">
        <f t="shared" si="11"/>
        <v>1</v>
      </c>
      <c r="AS203" s="86">
        <f t="shared" si="12"/>
        <v>8017.78</v>
      </c>
      <c r="AT203" s="87">
        <f t="shared" si="13"/>
        <v>46976.42</v>
      </c>
      <c r="AU203" s="88">
        <f t="shared" si="81"/>
        <v>30.6</v>
      </c>
      <c r="AV203" s="89" t="str">
        <f t="shared" si="15"/>
        <v>#VALUE!</v>
      </c>
      <c r="AW203" s="90" t="str">
        <f t="shared" si="16"/>
        <v>#VALUE!</v>
      </c>
      <c r="AY203" s="85">
        <f t="shared" si="17"/>
        <v>0</v>
      </c>
      <c r="AZ203" s="20">
        <f t="shared" si="18"/>
        <v>1</v>
      </c>
      <c r="BA203" s="20">
        <f t="shared" si="19"/>
        <v>0</v>
      </c>
      <c r="BB203" s="91">
        <f t="shared" si="20"/>
        <v>0</v>
      </c>
      <c r="BC203" s="87">
        <f t="shared" si="21"/>
        <v>0</v>
      </c>
      <c r="BD203" s="92">
        <f t="shared" si="22"/>
        <v>0</v>
      </c>
      <c r="BE203" s="89" t="str">
        <f t="shared" si="23"/>
        <v>#VALUE!</v>
      </c>
      <c r="BF203" s="90">
        <f t="shared" si="24"/>
        <v>0</v>
      </c>
      <c r="BH203" s="93">
        <f t="shared" si="25"/>
        <v>46976.42</v>
      </c>
      <c r="BI203" s="94">
        <f t="shared" si="26"/>
        <v>1</v>
      </c>
      <c r="BJ203" s="95" t="str">
        <f t="shared" si="27"/>
        <v>#VALUE!</v>
      </c>
      <c r="BK203" s="96" t="str">
        <f t="shared" si="28"/>
        <v>#VALUE!</v>
      </c>
      <c r="BM203" s="97">
        <f t="shared" si="29"/>
        <v>1</v>
      </c>
    </row>
    <row r="204" ht="12.75" customHeight="1">
      <c r="A204" s="65"/>
      <c r="B204" s="66" t="s">
        <v>418</v>
      </c>
      <c r="C204" s="67">
        <v>27392.97</v>
      </c>
      <c r="D204" s="68">
        <v>13.0</v>
      </c>
      <c r="E204" s="67">
        <v>27681.5</v>
      </c>
      <c r="F204" s="68" t="s">
        <v>64</v>
      </c>
      <c r="G204" s="69">
        <v>43804.0</v>
      </c>
      <c r="H204" s="71" t="s">
        <v>57</v>
      </c>
      <c r="I204" s="69">
        <v>44923.0</v>
      </c>
      <c r="J204" s="71">
        <f t="shared" si="69"/>
        <v>37.3</v>
      </c>
      <c r="K204" s="72" t="s">
        <v>419</v>
      </c>
      <c r="L204" s="72">
        <v>40500.0</v>
      </c>
      <c r="M204" s="73">
        <v>1672.59</v>
      </c>
      <c r="N204" s="73">
        <v>5202.512000000001</v>
      </c>
      <c r="O204" s="73">
        <v>210.0</v>
      </c>
      <c r="P204" s="73">
        <f t="shared" si="70"/>
        <v>0</v>
      </c>
      <c r="Q204" s="73">
        <f t="shared" si="71"/>
        <v>0</v>
      </c>
      <c r="R204" s="74">
        <f t="shared" si="72"/>
        <v>0</v>
      </c>
      <c r="S204" s="74">
        <f t="shared" si="73"/>
        <v>1</v>
      </c>
      <c r="T204" s="75"/>
      <c r="V204" s="76">
        <v>264.0</v>
      </c>
      <c r="W204" s="77">
        <v>10.27</v>
      </c>
      <c r="X204" s="77">
        <v>19.2</v>
      </c>
      <c r="Y204" s="77"/>
      <c r="Z204" s="77">
        <f>162.36+355.74+161.7</f>
        <v>679.8</v>
      </c>
      <c r="AA204" s="77">
        <f>2999.32+1090.7</f>
        <v>4090.02</v>
      </c>
      <c r="AB204" s="78">
        <f t="shared" si="38"/>
        <v>5063.29</v>
      </c>
      <c r="AC204" s="77">
        <v>24373.17</v>
      </c>
      <c r="AD204" s="79">
        <v>0.0625</v>
      </c>
      <c r="AE204" s="80">
        <f t="shared" si="80"/>
        <v>853.1969178</v>
      </c>
      <c r="AF204" s="81">
        <v>3308.33</v>
      </c>
      <c r="AG204" s="79">
        <v>0.0675</v>
      </c>
      <c r="AH204" s="80">
        <f t="shared" si="79"/>
        <v>110.1266014</v>
      </c>
      <c r="AI204" s="82">
        <f t="shared" ref="AI204:AI205" si="82">AC204+AF204</f>
        <v>27681.5</v>
      </c>
      <c r="AJ204" s="82">
        <f t="shared" si="7"/>
        <v>963.3235192</v>
      </c>
      <c r="AK204" s="83">
        <f t="shared" si="41"/>
        <v>963.3235192</v>
      </c>
      <c r="AL204" s="84">
        <f t="shared" si="42"/>
        <v>1672.593519</v>
      </c>
      <c r="AP204" s="85">
        <f t="shared" si="9"/>
        <v>0</v>
      </c>
      <c r="AQ204" s="20">
        <f t="shared" si="10"/>
        <v>1</v>
      </c>
      <c r="AR204" s="20">
        <f t="shared" si="11"/>
        <v>0</v>
      </c>
      <c r="AS204" s="86">
        <f t="shared" si="12"/>
        <v>0</v>
      </c>
      <c r="AT204" s="87">
        <f t="shared" si="13"/>
        <v>0</v>
      </c>
      <c r="AU204" s="88">
        <f t="shared" si="81"/>
        <v>0</v>
      </c>
      <c r="AV204" s="89" t="str">
        <f t="shared" si="15"/>
        <v>#VALUE!</v>
      </c>
      <c r="AW204" s="90">
        <f t="shared" si="16"/>
        <v>0</v>
      </c>
      <c r="AY204" s="85">
        <f t="shared" si="17"/>
        <v>1</v>
      </c>
      <c r="AZ204" s="20">
        <f t="shared" si="18"/>
        <v>1</v>
      </c>
      <c r="BA204" s="20">
        <f t="shared" si="19"/>
        <v>1</v>
      </c>
      <c r="BB204" s="91">
        <f t="shared" si="20"/>
        <v>5412.512</v>
      </c>
      <c r="BC204" s="87">
        <f t="shared" si="21"/>
        <v>27681.5</v>
      </c>
      <c r="BD204" s="92">
        <f t="shared" si="22"/>
        <v>37.3</v>
      </c>
      <c r="BE204" s="89" t="str">
        <f t="shared" si="23"/>
        <v>#VALUE!</v>
      </c>
      <c r="BF204" s="90" t="str">
        <f t="shared" si="24"/>
        <v>#VALUE!</v>
      </c>
      <c r="BH204" s="93">
        <f t="shared" si="25"/>
        <v>27681.5</v>
      </c>
      <c r="BI204" s="94">
        <f t="shared" si="26"/>
        <v>1</v>
      </c>
      <c r="BJ204" s="95" t="str">
        <f t="shared" si="27"/>
        <v>#VALUE!</v>
      </c>
      <c r="BK204" s="96" t="str">
        <f t="shared" si="28"/>
        <v>#VALUE!</v>
      </c>
      <c r="BM204" s="97">
        <f t="shared" si="29"/>
        <v>1</v>
      </c>
    </row>
    <row r="205" ht="12.75" customHeight="1">
      <c r="A205" s="65"/>
      <c r="B205" s="66" t="s">
        <v>420</v>
      </c>
      <c r="C205" s="67">
        <v>25800.0</v>
      </c>
      <c r="D205" s="68">
        <v>13.0</v>
      </c>
      <c r="E205" s="67">
        <v>24436.48</v>
      </c>
      <c r="F205" s="68" t="s">
        <v>56</v>
      </c>
      <c r="G205" s="69">
        <v>43825.0</v>
      </c>
      <c r="H205" s="71" t="s">
        <v>57</v>
      </c>
      <c r="I205" s="69">
        <v>44084.0</v>
      </c>
      <c r="J205" s="71">
        <f t="shared" si="69"/>
        <v>8.633333333</v>
      </c>
      <c r="K205" s="72" t="s">
        <v>421</v>
      </c>
      <c r="L205" s="72">
        <v>45500.0</v>
      </c>
      <c r="M205" s="73">
        <v>1688.91</v>
      </c>
      <c r="N205" s="73">
        <v>5974.48</v>
      </c>
      <c r="O205" s="73">
        <v>570.0</v>
      </c>
      <c r="P205" s="73">
        <f t="shared" si="70"/>
        <v>0</v>
      </c>
      <c r="Q205" s="73">
        <f t="shared" si="71"/>
        <v>0</v>
      </c>
      <c r="R205" s="74">
        <f t="shared" si="72"/>
        <v>0</v>
      </c>
      <c r="S205" s="74">
        <f t="shared" si="73"/>
        <v>1</v>
      </c>
      <c r="T205" s="75"/>
      <c r="V205" s="76">
        <v>259.25</v>
      </c>
      <c r="W205" s="77"/>
      <c r="X205" s="77">
        <v>18.15</v>
      </c>
      <c r="Y205" s="77"/>
      <c r="Z205" s="77">
        <f>249.39+359.9+273.89+2.02+2.02</f>
        <v>887.22</v>
      </c>
      <c r="AA205" s="77">
        <f>8305.57+53.11</f>
        <v>8358.68</v>
      </c>
      <c r="AB205" s="78">
        <f t="shared" si="38"/>
        <v>9523.3</v>
      </c>
      <c r="AC205" s="77">
        <v>24346.13</v>
      </c>
      <c r="AD205" s="79">
        <v>0.065</v>
      </c>
      <c r="AE205" s="80">
        <f>((AC205*AD205)/365)*180</f>
        <v>780.4101945</v>
      </c>
      <c r="AF205" s="81">
        <v>90.71</v>
      </c>
      <c r="AG205" s="79">
        <v>0.07</v>
      </c>
      <c r="AH205" s="80">
        <f t="shared" si="79"/>
        <v>3.131358904</v>
      </c>
      <c r="AI205" s="82">
        <f t="shared" si="82"/>
        <v>24436.84</v>
      </c>
      <c r="AJ205" s="82">
        <f t="shared" si="7"/>
        <v>783.5415534</v>
      </c>
      <c r="AK205" s="83">
        <f t="shared" si="41"/>
        <v>783.5415534</v>
      </c>
      <c r="AL205" s="84">
        <f t="shared" si="42"/>
        <v>1688.911553</v>
      </c>
      <c r="AP205" s="85">
        <f t="shared" si="9"/>
        <v>1</v>
      </c>
      <c r="AQ205" s="20">
        <f t="shared" si="10"/>
        <v>1</v>
      </c>
      <c r="AR205" s="20">
        <f t="shared" si="11"/>
        <v>1</v>
      </c>
      <c r="AS205" s="86">
        <f t="shared" si="12"/>
        <v>6544.48</v>
      </c>
      <c r="AT205" s="87">
        <f t="shared" si="13"/>
        <v>24436.48</v>
      </c>
      <c r="AU205" s="88">
        <f t="shared" si="81"/>
        <v>8.633333333</v>
      </c>
      <c r="AV205" s="89" t="str">
        <f t="shared" si="15"/>
        <v>#VALUE!</v>
      </c>
      <c r="AW205" s="90" t="str">
        <f t="shared" si="16"/>
        <v>#VALUE!</v>
      </c>
      <c r="AY205" s="85">
        <f t="shared" si="17"/>
        <v>0</v>
      </c>
      <c r="AZ205" s="20">
        <f t="shared" si="18"/>
        <v>1</v>
      </c>
      <c r="BA205" s="20">
        <f t="shared" si="19"/>
        <v>0</v>
      </c>
      <c r="BB205" s="91">
        <f t="shared" si="20"/>
        <v>0</v>
      </c>
      <c r="BC205" s="87">
        <f t="shared" si="21"/>
        <v>0</v>
      </c>
      <c r="BD205" s="92">
        <f t="shared" si="22"/>
        <v>0</v>
      </c>
      <c r="BE205" s="89" t="str">
        <f t="shared" si="23"/>
        <v>#VALUE!</v>
      </c>
      <c r="BF205" s="90">
        <f t="shared" si="24"/>
        <v>0</v>
      </c>
      <c r="BH205" s="93">
        <f t="shared" si="25"/>
        <v>24436.48</v>
      </c>
      <c r="BI205" s="94">
        <f t="shared" si="26"/>
        <v>1</v>
      </c>
      <c r="BJ205" s="95" t="str">
        <f t="shared" si="27"/>
        <v>#VALUE!</v>
      </c>
      <c r="BK205" s="96" t="str">
        <f t="shared" si="28"/>
        <v>#VALUE!</v>
      </c>
      <c r="BM205" s="97">
        <f t="shared" si="29"/>
        <v>1</v>
      </c>
    </row>
    <row r="206" ht="12.75" customHeight="1">
      <c r="A206" s="65"/>
      <c r="B206" s="66" t="s">
        <v>422</v>
      </c>
      <c r="C206" s="67">
        <v>34636.84</v>
      </c>
      <c r="D206" s="68">
        <v>13.0</v>
      </c>
      <c r="E206" s="67">
        <v>30797.01</v>
      </c>
      <c r="F206" s="68" t="s">
        <v>56</v>
      </c>
      <c r="G206" s="69">
        <v>43843.0</v>
      </c>
      <c r="H206" s="71" t="s">
        <v>57</v>
      </c>
      <c r="I206" s="69">
        <v>44333.0</v>
      </c>
      <c r="J206" s="71">
        <f t="shared" si="69"/>
        <v>16.33333333</v>
      </c>
      <c r="K206" s="72" t="s">
        <v>423</v>
      </c>
      <c r="L206" s="72">
        <v>45000.0</v>
      </c>
      <c r="M206" s="73">
        <v>351.99999999999994</v>
      </c>
      <c r="N206" s="73">
        <v>6063.63</v>
      </c>
      <c r="O206" s="73">
        <v>1200.0</v>
      </c>
      <c r="P206" s="73">
        <f t="shared" si="70"/>
        <v>0</v>
      </c>
      <c r="Q206" s="73">
        <f t="shared" si="71"/>
        <v>0</v>
      </c>
      <c r="R206" s="74">
        <f t="shared" si="72"/>
        <v>0</v>
      </c>
      <c r="S206" s="74">
        <f t="shared" si="73"/>
        <v>1</v>
      </c>
      <c r="T206" s="75"/>
      <c r="V206" s="76">
        <v>176.0</v>
      </c>
      <c r="W206" s="77"/>
      <c r="X206" s="77">
        <v>12.32</v>
      </c>
      <c r="Y206" s="77"/>
      <c r="Z206" s="77">
        <f>102.3+128.04+109.34</f>
        <v>339.68</v>
      </c>
      <c r="AA206" s="77"/>
      <c r="AB206" s="78">
        <f t="shared" si="38"/>
        <v>528</v>
      </c>
      <c r="AC206" s="77"/>
      <c r="AD206" s="79">
        <v>0.0</v>
      </c>
      <c r="AE206" s="80">
        <f t="shared" ref="AE206:AE219" si="83">((E206*AD206)/365)*180</f>
        <v>0</v>
      </c>
      <c r="AF206" s="81"/>
      <c r="AG206" s="79"/>
      <c r="AH206" s="80">
        <f t="shared" ref="AH206:AH219" si="84">((E206*AG206)/365)*180</f>
        <v>0</v>
      </c>
      <c r="AI206" s="82"/>
      <c r="AJ206" s="82">
        <f t="shared" si="7"/>
        <v>0</v>
      </c>
      <c r="AK206" s="83" t="str">
        <f t="shared" si="41"/>
        <v/>
      </c>
      <c r="AL206" s="84">
        <f t="shared" si="42"/>
        <v>352</v>
      </c>
      <c r="AP206" s="85">
        <f t="shared" si="9"/>
        <v>1</v>
      </c>
      <c r="AQ206" s="20">
        <f t="shared" si="10"/>
        <v>1</v>
      </c>
      <c r="AR206" s="20">
        <f t="shared" si="11"/>
        <v>1</v>
      </c>
      <c r="AS206" s="86">
        <f t="shared" si="12"/>
        <v>7263.63</v>
      </c>
      <c r="AT206" s="87">
        <f t="shared" si="13"/>
        <v>30797.01</v>
      </c>
      <c r="AU206" s="88">
        <f t="shared" si="81"/>
        <v>16.33333333</v>
      </c>
      <c r="AV206" s="89" t="str">
        <f t="shared" si="15"/>
        <v>#VALUE!</v>
      </c>
      <c r="AW206" s="90" t="str">
        <f t="shared" si="16"/>
        <v>#VALUE!</v>
      </c>
      <c r="AY206" s="85">
        <f t="shared" si="17"/>
        <v>0</v>
      </c>
      <c r="AZ206" s="20">
        <f t="shared" si="18"/>
        <v>1</v>
      </c>
      <c r="BA206" s="20">
        <f t="shared" si="19"/>
        <v>0</v>
      </c>
      <c r="BB206" s="91">
        <f t="shared" si="20"/>
        <v>0</v>
      </c>
      <c r="BC206" s="87">
        <f t="shared" si="21"/>
        <v>0</v>
      </c>
      <c r="BD206" s="92">
        <f t="shared" si="22"/>
        <v>0</v>
      </c>
      <c r="BE206" s="89" t="str">
        <f t="shared" si="23"/>
        <v>#VALUE!</v>
      </c>
      <c r="BF206" s="90">
        <f t="shared" si="24"/>
        <v>0</v>
      </c>
      <c r="BH206" s="93">
        <f t="shared" si="25"/>
        <v>30797.01</v>
      </c>
      <c r="BI206" s="94">
        <f t="shared" si="26"/>
        <v>1</v>
      </c>
      <c r="BJ206" s="95" t="str">
        <f t="shared" si="27"/>
        <v>#VALUE!</v>
      </c>
      <c r="BK206" s="96" t="str">
        <f t="shared" si="28"/>
        <v>#VALUE!</v>
      </c>
      <c r="BM206" s="97">
        <f t="shared" si="29"/>
        <v>1</v>
      </c>
    </row>
    <row r="207" ht="12.75" customHeight="1">
      <c r="A207" s="65"/>
      <c r="B207" s="66" t="s">
        <v>424</v>
      </c>
      <c r="C207" s="67">
        <v>39584.88</v>
      </c>
      <c r="D207" s="68">
        <v>13.0</v>
      </c>
      <c r="E207" s="67">
        <v>35528.2</v>
      </c>
      <c r="F207" s="68" t="s">
        <v>56</v>
      </c>
      <c r="G207" s="69">
        <v>43843.0</v>
      </c>
      <c r="H207" s="71" t="s">
        <v>57</v>
      </c>
      <c r="I207" s="69">
        <v>44348.0</v>
      </c>
      <c r="J207" s="71">
        <f t="shared" si="69"/>
        <v>16.83333333</v>
      </c>
      <c r="K207" s="72" t="s">
        <v>425</v>
      </c>
      <c r="L207" s="72">
        <v>45000.0</v>
      </c>
      <c r="M207" s="73">
        <v>393.24</v>
      </c>
      <c r="N207" s="73">
        <v>8235.12</v>
      </c>
      <c r="O207" s="73">
        <v>2000.0</v>
      </c>
      <c r="P207" s="73">
        <f t="shared" si="70"/>
        <v>0</v>
      </c>
      <c r="Q207" s="73">
        <f t="shared" si="71"/>
        <v>1156.56</v>
      </c>
      <c r="R207" s="74">
        <f t="shared" si="72"/>
        <v>0.03255329569</v>
      </c>
      <c r="S207" s="74">
        <f t="shared" si="73"/>
        <v>0.9674467043</v>
      </c>
      <c r="T207" s="75"/>
      <c r="V207" s="76">
        <v>273.0</v>
      </c>
      <c r="W207" s="77"/>
      <c r="X207" s="77">
        <v>19.11</v>
      </c>
      <c r="Y207" s="77"/>
      <c r="Z207" s="77">
        <f>119.91+122.22+88.2</f>
        <v>330.33</v>
      </c>
      <c r="AA207" s="77">
        <v>159.39</v>
      </c>
      <c r="AB207" s="78">
        <f t="shared" si="38"/>
        <v>781.83</v>
      </c>
      <c r="AC207" s="77"/>
      <c r="AD207" s="79">
        <v>0.0025</v>
      </c>
      <c r="AE207" s="80">
        <f t="shared" si="83"/>
        <v>43.80189041</v>
      </c>
      <c r="AF207" s="81"/>
      <c r="AG207" s="79"/>
      <c r="AH207" s="80">
        <f t="shared" si="84"/>
        <v>0</v>
      </c>
      <c r="AI207" s="82"/>
      <c r="AJ207" s="82">
        <f t="shared" si="7"/>
        <v>43.80189041</v>
      </c>
      <c r="AK207" s="83">
        <f t="shared" si="41"/>
        <v>43.80189041</v>
      </c>
      <c r="AL207" s="84">
        <f t="shared" si="42"/>
        <v>393.2418904</v>
      </c>
      <c r="AP207" s="85">
        <f t="shared" si="9"/>
        <v>1</v>
      </c>
      <c r="AQ207" s="20">
        <f t="shared" si="10"/>
        <v>1</v>
      </c>
      <c r="AR207" s="20">
        <f t="shared" si="11"/>
        <v>1</v>
      </c>
      <c r="AS207" s="86">
        <f t="shared" si="12"/>
        <v>10235.12</v>
      </c>
      <c r="AT207" s="87">
        <f t="shared" si="13"/>
        <v>35528.2</v>
      </c>
      <c r="AU207" s="88">
        <f t="shared" si="81"/>
        <v>16.83333333</v>
      </c>
      <c r="AV207" s="89" t="str">
        <f t="shared" si="15"/>
        <v>#VALUE!</v>
      </c>
      <c r="AW207" s="90" t="str">
        <f t="shared" si="16"/>
        <v>#VALUE!</v>
      </c>
      <c r="AY207" s="85">
        <f t="shared" si="17"/>
        <v>0</v>
      </c>
      <c r="AZ207" s="20">
        <f t="shared" si="18"/>
        <v>1</v>
      </c>
      <c r="BA207" s="20">
        <f t="shared" si="19"/>
        <v>0</v>
      </c>
      <c r="BB207" s="91">
        <f t="shared" si="20"/>
        <v>0</v>
      </c>
      <c r="BC207" s="87">
        <f t="shared" si="21"/>
        <v>0</v>
      </c>
      <c r="BD207" s="92">
        <f t="shared" si="22"/>
        <v>0</v>
      </c>
      <c r="BE207" s="89" t="str">
        <f t="shared" si="23"/>
        <v>#VALUE!</v>
      </c>
      <c r="BF207" s="90">
        <f t="shared" si="24"/>
        <v>0</v>
      </c>
      <c r="BH207" s="93">
        <f t="shared" si="25"/>
        <v>35528.2</v>
      </c>
      <c r="BI207" s="94">
        <f t="shared" si="26"/>
        <v>1</v>
      </c>
      <c r="BJ207" s="95" t="str">
        <f t="shared" si="27"/>
        <v>#VALUE!</v>
      </c>
      <c r="BK207" s="96" t="str">
        <f t="shared" si="28"/>
        <v>#VALUE!</v>
      </c>
      <c r="BM207" s="97">
        <f t="shared" si="29"/>
        <v>1</v>
      </c>
    </row>
    <row r="208" ht="12.75" customHeight="1">
      <c r="A208" s="65"/>
      <c r="B208" s="66" t="s">
        <v>426</v>
      </c>
      <c r="C208" s="67">
        <v>31146.61</v>
      </c>
      <c r="D208" s="68">
        <v>13.0</v>
      </c>
      <c r="E208" s="67">
        <v>25863.87</v>
      </c>
      <c r="F208" s="68" t="s">
        <v>56</v>
      </c>
      <c r="G208" s="69">
        <v>43843.0</v>
      </c>
      <c r="H208" s="71" t="s">
        <v>57</v>
      </c>
      <c r="I208" s="69">
        <v>44452.0</v>
      </c>
      <c r="J208" s="71">
        <f t="shared" si="69"/>
        <v>20.3</v>
      </c>
      <c r="K208" s="72" t="s">
        <v>427</v>
      </c>
      <c r="L208" s="72">
        <v>43000.0</v>
      </c>
      <c r="M208" s="73">
        <v>404.09999999999997</v>
      </c>
      <c r="N208" s="73">
        <v>7434.09</v>
      </c>
      <c r="O208" s="73">
        <v>2359.0</v>
      </c>
      <c r="P208" s="73">
        <f t="shared" si="70"/>
        <v>0</v>
      </c>
      <c r="Q208" s="73">
        <f t="shared" si="71"/>
        <v>0</v>
      </c>
      <c r="R208" s="74">
        <f t="shared" si="72"/>
        <v>0</v>
      </c>
      <c r="S208" s="74">
        <f t="shared" si="73"/>
        <v>1</v>
      </c>
      <c r="T208" s="75"/>
      <c r="V208" s="76">
        <v>240.0</v>
      </c>
      <c r="W208" s="77"/>
      <c r="X208" s="77">
        <v>16.8</v>
      </c>
      <c r="Y208" s="77"/>
      <c r="Z208" s="77">
        <f>134.4+127.5+125.4</f>
        <v>387.3</v>
      </c>
      <c r="AA208" s="77"/>
      <c r="AB208" s="78">
        <f t="shared" si="38"/>
        <v>644.1</v>
      </c>
      <c r="AC208" s="77"/>
      <c r="AD208" s="79">
        <v>0.0</v>
      </c>
      <c r="AE208" s="80">
        <f t="shared" si="83"/>
        <v>0</v>
      </c>
      <c r="AF208" s="81"/>
      <c r="AG208" s="79"/>
      <c r="AH208" s="80">
        <f t="shared" si="84"/>
        <v>0</v>
      </c>
      <c r="AI208" s="82"/>
      <c r="AJ208" s="82">
        <f t="shared" si="7"/>
        <v>0</v>
      </c>
      <c r="AK208" s="83" t="str">
        <f t="shared" si="41"/>
        <v/>
      </c>
      <c r="AL208" s="84">
        <f t="shared" si="42"/>
        <v>404.1</v>
      </c>
      <c r="AP208" s="85">
        <f t="shared" si="9"/>
        <v>1</v>
      </c>
      <c r="AQ208" s="20">
        <f t="shared" si="10"/>
        <v>1</v>
      </c>
      <c r="AR208" s="20">
        <f t="shared" si="11"/>
        <v>1</v>
      </c>
      <c r="AS208" s="86">
        <f t="shared" si="12"/>
        <v>9793.09</v>
      </c>
      <c r="AT208" s="87">
        <f t="shared" si="13"/>
        <v>25863.87</v>
      </c>
      <c r="AU208" s="88">
        <f t="shared" si="81"/>
        <v>20.3</v>
      </c>
      <c r="AV208" s="89" t="str">
        <f t="shared" si="15"/>
        <v>#VALUE!</v>
      </c>
      <c r="AW208" s="90" t="str">
        <f t="shared" si="16"/>
        <v>#VALUE!</v>
      </c>
      <c r="AY208" s="85">
        <f t="shared" si="17"/>
        <v>0</v>
      </c>
      <c r="AZ208" s="20">
        <f t="shared" si="18"/>
        <v>1</v>
      </c>
      <c r="BA208" s="20">
        <f t="shared" si="19"/>
        <v>0</v>
      </c>
      <c r="BB208" s="91">
        <f t="shared" si="20"/>
        <v>0</v>
      </c>
      <c r="BC208" s="87">
        <f t="shared" si="21"/>
        <v>0</v>
      </c>
      <c r="BD208" s="92">
        <f t="shared" si="22"/>
        <v>0</v>
      </c>
      <c r="BE208" s="89" t="str">
        <f t="shared" si="23"/>
        <v>#VALUE!</v>
      </c>
      <c r="BF208" s="90">
        <f t="shared" si="24"/>
        <v>0</v>
      </c>
      <c r="BH208" s="93">
        <f t="shared" si="25"/>
        <v>25863.87</v>
      </c>
      <c r="BI208" s="94">
        <f t="shared" si="26"/>
        <v>1</v>
      </c>
      <c r="BJ208" s="95" t="str">
        <f t="shared" si="27"/>
        <v>#VALUE!</v>
      </c>
      <c r="BK208" s="96" t="str">
        <f t="shared" si="28"/>
        <v>#VALUE!</v>
      </c>
      <c r="BM208" s="97">
        <f t="shared" si="29"/>
        <v>1</v>
      </c>
    </row>
    <row r="209" ht="12.75" customHeight="1">
      <c r="A209" s="65"/>
      <c r="B209" s="66" t="s">
        <v>428</v>
      </c>
      <c r="C209" s="67">
        <v>29340.0</v>
      </c>
      <c r="D209" s="68">
        <v>13.0</v>
      </c>
      <c r="E209" s="67">
        <v>26798.96</v>
      </c>
      <c r="F209" s="68" t="s">
        <v>56</v>
      </c>
      <c r="G209" s="69">
        <v>43903.0</v>
      </c>
      <c r="H209" s="71" t="s">
        <v>57</v>
      </c>
      <c r="I209" s="69">
        <v>44377.0</v>
      </c>
      <c r="J209" s="71">
        <f t="shared" si="69"/>
        <v>15.8</v>
      </c>
      <c r="K209" s="72" t="s">
        <v>429</v>
      </c>
      <c r="L209" s="72">
        <v>41000.0</v>
      </c>
      <c r="M209" s="73">
        <v>650.26</v>
      </c>
      <c r="N209" s="73">
        <v>4584.0</v>
      </c>
      <c r="O209" s="73">
        <v>2080.0</v>
      </c>
      <c r="P209" s="73">
        <f t="shared" si="70"/>
        <v>0</v>
      </c>
      <c r="Q209" s="73">
        <f t="shared" si="71"/>
        <v>0</v>
      </c>
      <c r="R209" s="74">
        <f t="shared" si="72"/>
        <v>0</v>
      </c>
      <c r="S209" s="74">
        <f t="shared" si="73"/>
        <v>1</v>
      </c>
      <c r="T209" s="75"/>
      <c r="V209" s="76">
        <v>328.0</v>
      </c>
      <c r="W209" s="77"/>
      <c r="X209" s="77">
        <v>22.96</v>
      </c>
      <c r="Y209" s="77"/>
      <c r="Z209" s="77">
        <f>176.71+265.27+185.32</f>
        <v>627.3</v>
      </c>
      <c r="AA209" s="77"/>
      <c r="AB209" s="78">
        <f t="shared" si="38"/>
        <v>978.26</v>
      </c>
      <c r="AC209" s="77"/>
      <c r="AD209" s="79">
        <v>0.0</v>
      </c>
      <c r="AE209" s="80">
        <f t="shared" si="83"/>
        <v>0</v>
      </c>
      <c r="AF209" s="81"/>
      <c r="AG209" s="79"/>
      <c r="AH209" s="80">
        <f t="shared" si="84"/>
        <v>0</v>
      </c>
      <c r="AI209" s="82"/>
      <c r="AJ209" s="82">
        <f t="shared" si="7"/>
        <v>0</v>
      </c>
      <c r="AK209" s="83" t="str">
        <f t="shared" si="41"/>
        <v/>
      </c>
      <c r="AL209" s="84">
        <f t="shared" si="42"/>
        <v>650.26</v>
      </c>
      <c r="AP209" s="85">
        <f t="shared" si="9"/>
        <v>1</v>
      </c>
      <c r="AQ209" s="20">
        <f t="shared" si="10"/>
        <v>1</v>
      </c>
      <c r="AR209" s="20">
        <f t="shared" si="11"/>
        <v>1</v>
      </c>
      <c r="AS209" s="86">
        <f t="shared" si="12"/>
        <v>6664</v>
      </c>
      <c r="AT209" s="87">
        <f t="shared" si="13"/>
        <v>26798.96</v>
      </c>
      <c r="AU209" s="88">
        <f t="shared" si="81"/>
        <v>15.8</v>
      </c>
      <c r="AV209" s="89" t="str">
        <f t="shared" si="15"/>
        <v>#VALUE!</v>
      </c>
      <c r="AW209" s="90" t="str">
        <f t="shared" si="16"/>
        <v>#VALUE!</v>
      </c>
      <c r="AY209" s="85">
        <f t="shared" si="17"/>
        <v>0</v>
      </c>
      <c r="AZ209" s="20">
        <f t="shared" si="18"/>
        <v>1</v>
      </c>
      <c r="BA209" s="20">
        <f t="shared" si="19"/>
        <v>0</v>
      </c>
      <c r="BB209" s="91">
        <f t="shared" si="20"/>
        <v>0</v>
      </c>
      <c r="BC209" s="87">
        <f t="shared" si="21"/>
        <v>0</v>
      </c>
      <c r="BD209" s="92">
        <f t="shared" si="22"/>
        <v>0</v>
      </c>
      <c r="BE209" s="89" t="str">
        <f t="shared" si="23"/>
        <v>#VALUE!</v>
      </c>
      <c r="BF209" s="90">
        <f t="shared" si="24"/>
        <v>0</v>
      </c>
      <c r="BH209" s="93">
        <f t="shared" si="25"/>
        <v>26798.96</v>
      </c>
      <c r="BI209" s="94">
        <f t="shared" si="26"/>
        <v>1</v>
      </c>
      <c r="BJ209" s="95" t="str">
        <f t="shared" si="27"/>
        <v>#VALUE!</v>
      </c>
      <c r="BK209" s="96" t="str">
        <f t="shared" si="28"/>
        <v>#VALUE!</v>
      </c>
      <c r="BM209" s="97">
        <f t="shared" si="29"/>
        <v>1</v>
      </c>
    </row>
    <row r="210" ht="12.75" customHeight="1">
      <c r="A210" s="65"/>
      <c r="B210" s="66" t="s">
        <v>430</v>
      </c>
      <c r="C210" s="67">
        <v>55390.5</v>
      </c>
      <c r="D210" s="68">
        <v>13.0</v>
      </c>
      <c r="E210" s="67">
        <v>49974.03</v>
      </c>
      <c r="F210" s="68" t="s">
        <v>56</v>
      </c>
      <c r="G210" s="69">
        <v>43909.0</v>
      </c>
      <c r="H210" s="71" t="s">
        <v>57</v>
      </c>
      <c r="I210" s="69">
        <v>44292.0</v>
      </c>
      <c r="J210" s="71">
        <f t="shared" si="69"/>
        <v>12.76666667</v>
      </c>
      <c r="K210" s="72" t="s">
        <v>431</v>
      </c>
      <c r="L210" s="72">
        <v>67000.0</v>
      </c>
      <c r="M210" s="73">
        <v>734.86</v>
      </c>
      <c r="N210" s="73">
        <v>10973.64</v>
      </c>
      <c r="O210" s="73">
        <v>4188.73</v>
      </c>
      <c r="P210" s="73">
        <f t="shared" si="70"/>
        <v>0</v>
      </c>
      <c r="Q210" s="73">
        <f t="shared" si="71"/>
        <v>0</v>
      </c>
      <c r="R210" s="74">
        <f t="shared" si="72"/>
        <v>0</v>
      </c>
      <c r="S210" s="74">
        <f t="shared" si="73"/>
        <v>1</v>
      </c>
      <c r="T210" s="75"/>
      <c r="V210" s="76">
        <v>179.93</v>
      </c>
      <c r="W210" s="77"/>
      <c r="X210" s="77">
        <v>12.6</v>
      </c>
      <c r="Y210" s="77"/>
      <c r="Z210" s="77">
        <f>159.03+143.64+111.53</f>
        <v>414.2</v>
      </c>
      <c r="AA210" s="77">
        <v>1009.75</v>
      </c>
      <c r="AB210" s="78">
        <f t="shared" si="38"/>
        <v>1616.48</v>
      </c>
      <c r="AC210" s="77"/>
      <c r="AD210" s="79">
        <v>0.0125</v>
      </c>
      <c r="AE210" s="80">
        <f t="shared" si="83"/>
        <v>308.059089</v>
      </c>
      <c r="AF210" s="81"/>
      <c r="AG210" s="79"/>
      <c r="AH210" s="80">
        <f t="shared" si="84"/>
        <v>0</v>
      </c>
      <c r="AI210" s="82"/>
      <c r="AJ210" s="82">
        <f t="shared" si="7"/>
        <v>308.059089</v>
      </c>
      <c r="AK210" s="83">
        <f t="shared" si="41"/>
        <v>308.059089</v>
      </c>
      <c r="AL210" s="84">
        <f t="shared" si="42"/>
        <v>734.859089</v>
      </c>
      <c r="AP210" s="85">
        <f t="shared" si="9"/>
        <v>1</v>
      </c>
      <c r="AQ210" s="20">
        <f t="shared" si="10"/>
        <v>1</v>
      </c>
      <c r="AR210" s="20">
        <f t="shared" si="11"/>
        <v>1</v>
      </c>
      <c r="AS210" s="86">
        <f t="shared" si="12"/>
        <v>15162.37</v>
      </c>
      <c r="AT210" s="87">
        <f t="shared" si="13"/>
        <v>49974.03</v>
      </c>
      <c r="AU210" s="88">
        <f t="shared" si="81"/>
        <v>12.76666667</v>
      </c>
      <c r="AV210" s="89" t="str">
        <f t="shared" si="15"/>
        <v>#VALUE!</v>
      </c>
      <c r="AW210" s="90" t="str">
        <f t="shared" si="16"/>
        <v>#VALUE!</v>
      </c>
      <c r="AY210" s="85">
        <f t="shared" si="17"/>
        <v>0</v>
      </c>
      <c r="AZ210" s="20">
        <f t="shared" si="18"/>
        <v>1</v>
      </c>
      <c r="BA210" s="20">
        <f t="shared" si="19"/>
        <v>0</v>
      </c>
      <c r="BB210" s="91">
        <f t="shared" si="20"/>
        <v>0</v>
      </c>
      <c r="BC210" s="87">
        <f t="shared" si="21"/>
        <v>0</v>
      </c>
      <c r="BD210" s="92">
        <f t="shared" si="22"/>
        <v>0</v>
      </c>
      <c r="BE210" s="89" t="str">
        <f t="shared" si="23"/>
        <v>#VALUE!</v>
      </c>
      <c r="BF210" s="90">
        <f t="shared" si="24"/>
        <v>0</v>
      </c>
      <c r="BH210" s="93">
        <f t="shared" si="25"/>
        <v>49974.03</v>
      </c>
      <c r="BI210" s="94">
        <f t="shared" si="26"/>
        <v>1</v>
      </c>
      <c r="BJ210" s="95" t="str">
        <f t="shared" si="27"/>
        <v>#VALUE!</v>
      </c>
      <c r="BK210" s="96" t="str">
        <f t="shared" si="28"/>
        <v>#VALUE!</v>
      </c>
      <c r="BM210" s="97">
        <f t="shared" si="29"/>
        <v>1</v>
      </c>
    </row>
    <row r="211" ht="12.75" customHeight="1">
      <c r="A211" s="65"/>
      <c r="B211" s="66" t="s">
        <v>432</v>
      </c>
      <c r="C211" s="67">
        <v>39595.05</v>
      </c>
      <c r="D211" s="68">
        <v>13.0</v>
      </c>
      <c r="E211" s="67">
        <v>37160.49</v>
      </c>
      <c r="F211" s="68" t="s">
        <v>56</v>
      </c>
      <c r="G211" s="69">
        <v>43913.0</v>
      </c>
      <c r="H211" s="71" t="s">
        <v>57</v>
      </c>
      <c r="I211" s="69">
        <v>44347.0</v>
      </c>
      <c r="J211" s="71">
        <f t="shared" si="69"/>
        <v>14.46666667</v>
      </c>
      <c r="K211" s="72" t="s">
        <v>433</v>
      </c>
      <c r="L211" s="72">
        <v>45000.0</v>
      </c>
      <c r="M211" s="73">
        <v>754.8299999999999</v>
      </c>
      <c r="N211" s="73">
        <v>6584.0</v>
      </c>
      <c r="O211" s="73">
        <v>2000.0</v>
      </c>
      <c r="P211" s="73">
        <f t="shared" si="70"/>
        <v>0</v>
      </c>
      <c r="Q211" s="73">
        <f t="shared" si="71"/>
        <v>1499.32</v>
      </c>
      <c r="R211" s="74">
        <f t="shared" si="72"/>
        <v>0.04034715366</v>
      </c>
      <c r="S211" s="74">
        <f t="shared" si="73"/>
        <v>0.9596528463</v>
      </c>
      <c r="T211" s="75"/>
      <c r="V211" s="76">
        <v>333.0</v>
      </c>
      <c r="W211" s="77"/>
      <c r="X211" s="77">
        <v>23.31</v>
      </c>
      <c r="Y211" s="77"/>
      <c r="Z211" s="77">
        <f>205.92+374.4+151.2</f>
        <v>731.52</v>
      </c>
      <c r="AA211" s="77"/>
      <c r="AB211" s="78">
        <f t="shared" si="38"/>
        <v>1087.83</v>
      </c>
      <c r="AC211" s="77"/>
      <c r="AD211" s="79">
        <v>0.0</v>
      </c>
      <c r="AE211" s="80">
        <f t="shared" si="83"/>
        <v>0</v>
      </c>
      <c r="AF211" s="81"/>
      <c r="AG211" s="79"/>
      <c r="AH211" s="80">
        <f t="shared" si="84"/>
        <v>0</v>
      </c>
      <c r="AI211" s="82"/>
      <c r="AJ211" s="82">
        <f t="shared" si="7"/>
        <v>0</v>
      </c>
      <c r="AK211" s="83" t="str">
        <f t="shared" si="41"/>
        <v/>
      </c>
      <c r="AL211" s="84">
        <f t="shared" si="42"/>
        <v>754.83</v>
      </c>
      <c r="AP211" s="85">
        <f t="shared" si="9"/>
        <v>1</v>
      </c>
      <c r="AQ211" s="20">
        <f t="shared" si="10"/>
        <v>1</v>
      </c>
      <c r="AR211" s="20">
        <f t="shared" si="11"/>
        <v>1</v>
      </c>
      <c r="AS211" s="86">
        <f t="shared" si="12"/>
        <v>8584</v>
      </c>
      <c r="AT211" s="87">
        <f t="shared" si="13"/>
        <v>37160.49</v>
      </c>
      <c r="AU211" s="88">
        <f t="shared" si="81"/>
        <v>14.46666667</v>
      </c>
      <c r="AV211" s="89" t="str">
        <f t="shared" si="15"/>
        <v>#VALUE!</v>
      </c>
      <c r="AW211" s="90" t="str">
        <f t="shared" si="16"/>
        <v>#VALUE!</v>
      </c>
      <c r="AY211" s="85">
        <f t="shared" si="17"/>
        <v>0</v>
      </c>
      <c r="AZ211" s="20">
        <f t="shared" si="18"/>
        <v>1</v>
      </c>
      <c r="BA211" s="20">
        <f t="shared" si="19"/>
        <v>0</v>
      </c>
      <c r="BB211" s="91">
        <f t="shared" si="20"/>
        <v>0</v>
      </c>
      <c r="BC211" s="87">
        <f t="shared" si="21"/>
        <v>0</v>
      </c>
      <c r="BD211" s="92">
        <f t="shared" si="22"/>
        <v>0</v>
      </c>
      <c r="BE211" s="89" t="str">
        <f t="shared" si="23"/>
        <v>#VALUE!</v>
      </c>
      <c r="BF211" s="90">
        <f t="shared" si="24"/>
        <v>0</v>
      </c>
      <c r="BH211" s="93">
        <f t="shared" si="25"/>
        <v>37160.49</v>
      </c>
      <c r="BI211" s="94">
        <f t="shared" si="26"/>
        <v>1</v>
      </c>
      <c r="BJ211" s="95" t="str">
        <f t="shared" si="27"/>
        <v>#VALUE!</v>
      </c>
      <c r="BK211" s="96" t="str">
        <f t="shared" si="28"/>
        <v>#VALUE!</v>
      </c>
      <c r="BM211" s="97">
        <f t="shared" si="29"/>
        <v>1</v>
      </c>
    </row>
    <row r="212" ht="12.75" customHeight="1">
      <c r="A212" s="65"/>
      <c r="B212" s="66" t="s">
        <v>434</v>
      </c>
      <c r="C212" s="67">
        <v>25000.0</v>
      </c>
      <c r="D212" s="68">
        <v>13.0</v>
      </c>
      <c r="E212" s="67">
        <v>24314.23</v>
      </c>
      <c r="F212" s="68" t="s">
        <v>56</v>
      </c>
      <c r="G212" s="69">
        <v>44001.0</v>
      </c>
      <c r="H212" s="71" t="s">
        <v>57</v>
      </c>
      <c r="I212" s="69">
        <v>44812.0</v>
      </c>
      <c r="J212" s="71">
        <f t="shared" si="69"/>
        <v>27.03333333</v>
      </c>
      <c r="K212" s="72" t="s">
        <v>435</v>
      </c>
      <c r="L212" s="72">
        <v>35500.0</v>
      </c>
      <c r="M212" s="73">
        <v>1067.58</v>
      </c>
      <c r="N212" s="73">
        <v>5744.45</v>
      </c>
      <c r="O212" s="73">
        <v>3500.44</v>
      </c>
      <c r="P212" s="73">
        <f t="shared" si="70"/>
        <v>0</v>
      </c>
      <c r="Q212" s="73">
        <f t="shared" si="71"/>
        <v>0</v>
      </c>
      <c r="R212" s="74">
        <f t="shared" si="72"/>
        <v>0</v>
      </c>
      <c r="S212" s="74">
        <f t="shared" si="73"/>
        <v>1</v>
      </c>
      <c r="T212" s="75"/>
      <c r="V212" s="76">
        <v>286.75</v>
      </c>
      <c r="W212" s="77"/>
      <c r="X212" s="77">
        <v>20.07</v>
      </c>
      <c r="Y212" s="77"/>
      <c r="Z212" s="77">
        <f>81.53+97.65+160.89</f>
        <v>340.07</v>
      </c>
      <c r="AA212" s="77">
        <v>3861.76</v>
      </c>
      <c r="AB212" s="78">
        <f t="shared" si="38"/>
        <v>4508.65</v>
      </c>
      <c r="AC212" s="77"/>
      <c r="AD212" s="79">
        <v>0.059</v>
      </c>
      <c r="AE212" s="80">
        <f t="shared" si="83"/>
        <v>707.4441715</v>
      </c>
      <c r="AF212" s="81"/>
      <c r="AG212" s="79"/>
      <c r="AH212" s="80">
        <f t="shared" si="84"/>
        <v>0</v>
      </c>
      <c r="AI212" s="82"/>
      <c r="AJ212" s="82">
        <f t="shared" si="7"/>
        <v>707.4441715</v>
      </c>
      <c r="AK212" s="83">
        <f t="shared" si="41"/>
        <v>707.4441715</v>
      </c>
      <c r="AL212" s="84">
        <f t="shared" si="42"/>
        <v>1067.584172</v>
      </c>
      <c r="AP212" s="85">
        <f t="shared" si="9"/>
        <v>1</v>
      </c>
      <c r="AQ212" s="20">
        <f t="shared" si="10"/>
        <v>1</v>
      </c>
      <c r="AR212" s="20">
        <f t="shared" si="11"/>
        <v>1</v>
      </c>
      <c r="AS212" s="86">
        <f t="shared" si="12"/>
        <v>9244.89</v>
      </c>
      <c r="AT212" s="87">
        <f t="shared" si="13"/>
        <v>24314.23</v>
      </c>
      <c r="AU212" s="88">
        <f t="shared" si="81"/>
        <v>27.03333333</v>
      </c>
      <c r="AV212" s="89" t="str">
        <f t="shared" si="15"/>
        <v>#VALUE!</v>
      </c>
      <c r="AW212" s="90" t="str">
        <f t="shared" si="16"/>
        <v>#VALUE!</v>
      </c>
      <c r="AY212" s="85">
        <f t="shared" si="17"/>
        <v>0</v>
      </c>
      <c r="AZ212" s="20">
        <f t="shared" si="18"/>
        <v>1</v>
      </c>
      <c r="BA212" s="20">
        <f t="shared" si="19"/>
        <v>0</v>
      </c>
      <c r="BB212" s="91">
        <f t="shared" si="20"/>
        <v>0</v>
      </c>
      <c r="BC212" s="87">
        <f t="shared" si="21"/>
        <v>0</v>
      </c>
      <c r="BD212" s="92">
        <f t="shared" si="22"/>
        <v>0</v>
      </c>
      <c r="BE212" s="89" t="str">
        <f t="shared" si="23"/>
        <v>#VALUE!</v>
      </c>
      <c r="BF212" s="90">
        <f t="shared" si="24"/>
        <v>0</v>
      </c>
      <c r="BH212" s="93">
        <f t="shared" si="25"/>
        <v>24314.23</v>
      </c>
      <c r="BI212" s="94">
        <f t="shared" si="26"/>
        <v>1</v>
      </c>
      <c r="BJ212" s="95" t="str">
        <f t="shared" si="27"/>
        <v>#VALUE!</v>
      </c>
      <c r="BK212" s="96" t="str">
        <f t="shared" si="28"/>
        <v>#VALUE!</v>
      </c>
      <c r="BM212" s="97">
        <f t="shared" si="29"/>
        <v>1</v>
      </c>
    </row>
    <row r="213" ht="12.75" customHeight="1">
      <c r="A213" s="65"/>
      <c r="B213" s="66" t="s">
        <v>436</v>
      </c>
      <c r="C213" s="67">
        <v>35394.95</v>
      </c>
      <c r="D213" s="68">
        <v>13.0</v>
      </c>
      <c r="E213" s="67">
        <v>34784.83</v>
      </c>
      <c r="F213" s="68" t="s">
        <v>56</v>
      </c>
      <c r="G213" s="69">
        <v>44020.0</v>
      </c>
      <c r="H213" s="71" t="s">
        <v>57</v>
      </c>
      <c r="I213" s="69">
        <v>44136.0</v>
      </c>
      <c r="J213" s="71">
        <f t="shared" si="69"/>
        <v>3.866666667</v>
      </c>
      <c r="K213" s="98" t="s">
        <v>437</v>
      </c>
      <c r="L213" s="72">
        <v>42500.0</v>
      </c>
      <c r="M213" s="73">
        <v>477.91</v>
      </c>
      <c r="N213" s="73">
        <v>5976.77</v>
      </c>
      <c r="O213" s="73">
        <v>60.0</v>
      </c>
      <c r="P213" s="73">
        <f t="shared" si="70"/>
        <v>0</v>
      </c>
      <c r="Q213" s="73">
        <f t="shared" si="71"/>
        <v>0</v>
      </c>
      <c r="R213" s="74">
        <f t="shared" si="72"/>
        <v>0</v>
      </c>
      <c r="S213" s="74">
        <f t="shared" si="73"/>
        <v>1</v>
      </c>
      <c r="T213" s="75"/>
      <c r="V213" s="76">
        <v>379.25</v>
      </c>
      <c r="W213" s="77"/>
      <c r="X213" s="77">
        <v>26.55</v>
      </c>
      <c r="Y213" s="77"/>
      <c r="Z213" s="77">
        <f>182.08+126.48+142.8</f>
        <v>451.36</v>
      </c>
      <c r="AA213" s="77"/>
      <c r="AB213" s="78">
        <f t="shared" si="38"/>
        <v>857.16</v>
      </c>
      <c r="AC213" s="77"/>
      <c r="AD213" s="79">
        <v>0.0</v>
      </c>
      <c r="AE213" s="80">
        <f t="shared" si="83"/>
        <v>0</v>
      </c>
      <c r="AF213" s="81"/>
      <c r="AG213" s="79"/>
      <c r="AH213" s="80">
        <f t="shared" si="84"/>
        <v>0</v>
      </c>
      <c r="AI213" s="82"/>
      <c r="AJ213" s="82">
        <f t="shared" si="7"/>
        <v>0</v>
      </c>
      <c r="AK213" s="83" t="str">
        <f t="shared" si="41"/>
        <v/>
      </c>
      <c r="AL213" s="84">
        <f t="shared" si="42"/>
        <v>477.91</v>
      </c>
      <c r="AP213" s="85">
        <f t="shared" si="9"/>
        <v>1</v>
      </c>
      <c r="AQ213" s="20">
        <f t="shared" si="10"/>
        <v>1</v>
      </c>
      <c r="AR213" s="20">
        <f t="shared" si="11"/>
        <v>1</v>
      </c>
      <c r="AS213" s="86">
        <f t="shared" si="12"/>
        <v>6036.77</v>
      </c>
      <c r="AT213" s="87">
        <f t="shared" si="13"/>
        <v>34784.83</v>
      </c>
      <c r="AU213" s="88">
        <f t="shared" si="81"/>
        <v>3.866666667</v>
      </c>
      <c r="AV213" s="89" t="str">
        <f t="shared" si="15"/>
        <v>#VALUE!</v>
      </c>
      <c r="AW213" s="90" t="str">
        <f t="shared" si="16"/>
        <v>#VALUE!</v>
      </c>
      <c r="AY213" s="85">
        <f t="shared" si="17"/>
        <v>0</v>
      </c>
      <c r="AZ213" s="20">
        <f t="shared" si="18"/>
        <v>1</v>
      </c>
      <c r="BA213" s="20">
        <f t="shared" si="19"/>
        <v>0</v>
      </c>
      <c r="BB213" s="91">
        <f t="shared" si="20"/>
        <v>0</v>
      </c>
      <c r="BC213" s="87">
        <f t="shared" si="21"/>
        <v>0</v>
      </c>
      <c r="BD213" s="92">
        <f t="shared" si="22"/>
        <v>0</v>
      </c>
      <c r="BE213" s="89" t="str">
        <f t="shared" si="23"/>
        <v>#VALUE!</v>
      </c>
      <c r="BF213" s="90">
        <f t="shared" si="24"/>
        <v>0</v>
      </c>
      <c r="BH213" s="93">
        <f t="shared" si="25"/>
        <v>34784.83</v>
      </c>
      <c r="BI213" s="94">
        <f t="shared" si="26"/>
        <v>1</v>
      </c>
      <c r="BJ213" s="95" t="str">
        <f t="shared" si="27"/>
        <v>#VALUE!</v>
      </c>
      <c r="BK213" s="96" t="str">
        <f t="shared" si="28"/>
        <v>#VALUE!</v>
      </c>
      <c r="BM213" s="97">
        <f t="shared" si="29"/>
        <v>1</v>
      </c>
    </row>
    <row r="214" ht="12.75" customHeight="1">
      <c r="A214" s="65"/>
      <c r="B214" s="66" t="s">
        <v>438</v>
      </c>
      <c r="C214" s="67">
        <v>34650.0</v>
      </c>
      <c r="D214" s="68">
        <v>13.0</v>
      </c>
      <c r="E214" s="67">
        <v>30207.41</v>
      </c>
      <c r="F214" s="68" t="s">
        <v>56</v>
      </c>
      <c r="G214" s="69">
        <v>44042.0</v>
      </c>
      <c r="H214" s="71" t="s">
        <v>57</v>
      </c>
      <c r="I214" s="69">
        <v>44453.0</v>
      </c>
      <c r="J214" s="71">
        <f t="shared" si="69"/>
        <v>13.7</v>
      </c>
      <c r="K214" s="72" t="s">
        <v>439</v>
      </c>
      <c r="L214" s="72">
        <v>48500.0</v>
      </c>
      <c r="M214" s="73">
        <v>419.0</v>
      </c>
      <c r="N214" s="73">
        <v>9703.9</v>
      </c>
      <c r="O214" s="73">
        <v>0.0</v>
      </c>
      <c r="P214" s="73">
        <f t="shared" si="70"/>
        <v>0</v>
      </c>
      <c r="Q214" s="73">
        <f t="shared" si="71"/>
        <v>0</v>
      </c>
      <c r="R214" s="74">
        <f t="shared" si="72"/>
        <v>0</v>
      </c>
      <c r="S214" s="74">
        <f t="shared" si="73"/>
        <v>1</v>
      </c>
      <c r="T214" s="75"/>
      <c r="V214" s="76">
        <v>200.0</v>
      </c>
      <c r="W214" s="77"/>
      <c r="X214" s="77">
        <v>14.0</v>
      </c>
      <c r="Y214" s="77"/>
      <c r="Z214" s="77">
        <f>124.75+163.75+116.5</f>
        <v>405</v>
      </c>
      <c r="AA214" s="77"/>
      <c r="AB214" s="78">
        <f t="shared" si="38"/>
        <v>619</v>
      </c>
      <c r="AC214" s="77"/>
      <c r="AD214" s="79">
        <v>0.0</v>
      </c>
      <c r="AE214" s="80">
        <f t="shared" si="83"/>
        <v>0</v>
      </c>
      <c r="AF214" s="81"/>
      <c r="AG214" s="79"/>
      <c r="AH214" s="80">
        <f t="shared" si="84"/>
        <v>0</v>
      </c>
      <c r="AI214" s="82"/>
      <c r="AJ214" s="82">
        <f t="shared" si="7"/>
        <v>0</v>
      </c>
      <c r="AK214" s="83" t="str">
        <f t="shared" si="41"/>
        <v/>
      </c>
      <c r="AL214" s="84">
        <f t="shared" si="42"/>
        <v>419</v>
      </c>
      <c r="AP214" s="85">
        <f t="shared" si="9"/>
        <v>1</v>
      </c>
      <c r="AQ214" s="20">
        <f t="shared" si="10"/>
        <v>1</v>
      </c>
      <c r="AR214" s="20">
        <f t="shared" si="11"/>
        <v>1</v>
      </c>
      <c r="AS214" s="86">
        <f t="shared" si="12"/>
        <v>9703.9</v>
      </c>
      <c r="AT214" s="87">
        <f t="shared" si="13"/>
        <v>30207.41</v>
      </c>
      <c r="AU214" s="88">
        <f t="shared" si="81"/>
        <v>13.7</v>
      </c>
      <c r="AV214" s="89" t="str">
        <f t="shared" si="15"/>
        <v>#VALUE!</v>
      </c>
      <c r="AW214" s="90" t="str">
        <f t="shared" si="16"/>
        <v>#VALUE!</v>
      </c>
      <c r="AY214" s="85">
        <f t="shared" si="17"/>
        <v>0</v>
      </c>
      <c r="AZ214" s="20">
        <f t="shared" si="18"/>
        <v>1</v>
      </c>
      <c r="BA214" s="20">
        <f t="shared" si="19"/>
        <v>0</v>
      </c>
      <c r="BB214" s="91">
        <f t="shared" si="20"/>
        <v>0</v>
      </c>
      <c r="BC214" s="87">
        <f t="shared" si="21"/>
        <v>0</v>
      </c>
      <c r="BD214" s="92">
        <f t="shared" si="22"/>
        <v>0</v>
      </c>
      <c r="BE214" s="89" t="str">
        <f t="shared" si="23"/>
        <v>#VALUE!</v>
      </c>
      <c r="BF214" s="90">
        <f t="shared" si="24"/>
        <v>0</v>
      </c>
      <c r="BH214" s="93">
        <f t="shared" si="25"/>
        <v>30207.41</v>
      </c>
      <c r="BI214" s="94">
        <f t="shared" si="26"/>
        <v>1</v>
      </c>
      <c r="BJ214" s="95" t="str">
        <f t="shared" si="27"/>
        <v>#VALUE!</v>
      </c>
      <c r="BK214" s="96" t="str">
        <f t="shared" si="28"/>
        <v>#VALUE!</v>
      </c>
      <c r="BM214" s="97">
        <f t="shared" si="29"/>
        <v>1</v>
      </c>
    </row>
    <row r="215" ht="12.75" customHeight="1">
      <c r="A215" s="65"/>
      <c r="B215" s="66" t="s">
        <v>440</v>
      </c>
      <c r="C215" s="67">
        <v>40850.0</v>
      </c>
      <c r="D215" s="68">
        <v>13.0</v>
      </c>
      <c r="E215" s="67">
        <v>40343.67</v>
      </c>
      <c r="F215" s="68" t="s">
        <v>56</v>
      </c>
      <c r="G215" s="69">
        <v>44055.0</v>
      </c>
      <c r="H215" s="71" t="s">
        <v>57</v>
      </c>
      <c r="I215" s="69">
        <v>44110.0</v>
      </c>
      <c r="J215" s="71">
        <f t="shared" si="69"/>
        <v>1.833333333</v>
      </c>
      <c r="K215" s="72" t="s">
        <v>441</v>
      </c>
      <c r="L215" s="72">
        <v>60000.0</v>
      </c>
      <c r="M215" s="73">
        <v>2415.24</v>
      </c>
      <c r="N215" s="73">
        <v>7368.509999999999</v>
      </c>
      <c r="O215" s="73">
        <v>2048.89</v>
      </c>
      <c r="P215" s="73">
        <f t="shared" si="70"/>
        <v>0</v>
      </c>
      <c r="Q215" s="73">
        <f t="shared" si="71"/>
        <v>0</v>
      </c>
      <c r="R215" s="74">
        <f t="shared" si="72"/>
        <v>0</v>
      </c>
      <c r="S215" s="74">
        <f t="shared" si="73"/>
        <v>1</v>
      </c>
      <c r="T215" s="75"/>
      <c r="V215" s="76">
        <v>248.0</v>
      </c>
      <c r="W215" s="77">
        <v>403.44</v>
      </c>
      <c r="X215" s="77">
        <v>45.6</v>
      </c>
      <c r="Y215" s="77"/>
      <c r="Z215" s="77">
        <f>260.09+354.95+177.32</f>
        <v>792.36</v>
      </c>
      <c r="AA215" s="77">
        <v>7899.02</v>
      </c>
      <c r="AB215" s="78">
        <f t="shared" si="38"/>
        <v>9388.42</v>
      </c>
      <c r="AC215" s="77"/>
      <c r="AD215" s="79">
        <v>0.059</v>
      </c>
      <c r="AE215" s="80">
        <f t="shared" si="83"/>
        <v>1173.835001</v>
      </c>
      <c r="AF215" s="81"/>
      <c r="AG215" s="79"/>
      <c r="AH215" s="80">
        <f t="shared" si="84"/>
        <v>0</v>
      </c>
      <c r="AI215" s="82"/>
      <c r="AJ215" s="82">
        <f t="shared" si="7"/>
        <v>1173.835001</v>
      </c>
      <c r="AK215" s="83">
        <f t="shared" si="41"/>
        <v>1173.835001</v>
      </c>
      <c r="AL215" s="84">
        <f t="shared" si="42"/>
        <v>2415.235001</v>
      </c>
      <c r="AP215" s="85">
        <f t="shared" si="9"/>
        <v>1</v>
      </c>
      <c r="AQ215" s="20">
        <f t="shared" si="10"/>
        <v>1</v>
      </c>
      <c r="AR215" s="20">
        <f t="shared" si="11"/>
        <v>1</v>
      </c>
      <c r="AS215" s="86">
        <f t="shared" si="12"/>
        <v>9417.4</v>
      </c>
      <c r="AT215" s="87">
        <f t="shared" si="13"/>
        <v>40343.67</v>
      </c>
      <c r="AU215" s="88">
        <f t="shared" si="81"/>
        <v>1.833333333</v>
      </c>
      <c r="AV215" s="89" t="str">
        <f t="shared" si="15"/>
        <v>#VALUE!</v>
      </c>
      <c r="AW215" s="90" t="str">
        <f t="shared" si="16"/>
        <v>#VALUE!</v>
      </c>
      <c r="AY215" s="85">
        <f t="shared" si="17"/>
        <v>0</v>
      </c>
      <c r="AZ215" s="20">
        <f t="shared" si="18"/>
        <v>1</v>
      </c>
      <c r="BA215" s="20">
        <f t="shared" si="19"/>
        <v>0</v>
      </c>
      <c r="BB215" s="91">
        <f t="shared" si="20"/>
        <v>0</v>
      </c>
      <c r="BC215" s="87">
        <f t="shared" si="21"/>
        <v>0</v>
      </c>
      <c r="BD215" s="92">
        <f t="shared" si="22"/>
        <v>0</v>
      </c>
      <c r="BE215" s="89" t="str">
        <f t="shared" si="23"/>
        <v>#VALUE!</v>
      </c>
      <c r="BF215" s="90">
        <f t="shared" si="24"/>
        <v>0</v>
      </c>
      <c r="BH215" s="93">
        <f t="shared" si="25"/>
        <v>40343.67</v>
      </c>
      <c r="BI215" s="94">
        <f t="shared" si="26"/>
        <v>1</v>
      </c>
      <c r="BJ215" s="95" t="str">
        <f t="shared" si="27"/>
        <v>#VALUE!</v>
      </c>
      <c r="BK215" s="96" t="str">
        <f t="shared" si="28"/>
        <v>#VALUE!</v>
      </c>
      <c r="BM215" s="97">
        <f t="shared" si="29"/>
        <v>1</v>
      </c>
    </row>
    <row r="216" ht="12.75" customHeight="1">
      <c r="A216" s="65"/>
      <c r="B216" s="66" t="s">
        <v>442</v>
      </c>
      <c r="C216" s="67">
        <v>39595.44</v>
      </c>
      <c r="D216" s="68">
        <v>13.0</v>
      </c>
      <c r="E216" s="67">
        <v>37140.11</v>
      </c>
      <c r="F216" s="68" t="s">
        <v>56</v>
      </c>
      <c r="G216" s="69">
        <v>44071.0</v>
      </c>
      <c r="H216" s="71" t="s">
        <v>57</v>
      </c>
      <c r="I216" s="69">
        <v>44972.0</v>
      </c>
      <c r="J216" s="71">
        <f t="shared" si="69"/>
        <v>30.03333333</v>
      </c>
      <c r="K216" s="72" t="s">
        <v>443</v>
      </c>
      <c r="L216" s="72">
        <v>33445.43</v>
      </c>
      <c r="M216" s="73">
        <v>1047.8</v>
      </c>
      <c r="N216" s="73">
        <v>10548.63</v>
      </c>
      <c r="O216" s="73">
        <v>2516.2</v>
      </c>
      <c r="P216" s="73">
        <f t="shared" si="70"/>
        <v>3694.68</v>
      </c>
      <c r="Q216" s="73">
        <f t="shared" si="71"/>
        <v>17807.31</v>
      </c>
      <c r="R216" s="74">
        <f t="shared" si="72"/>
        <v>0.4794630387</v>
      </c>
      <c r="S216" s="74">
        <f t="shared" si="73"/>
        <v>0.5205369613</v>
      </c>
      <c r="T216" s="75"/>
      <c r="V216" s="76">
        <v>371.05</v>
      </c>
      <c r="W216" s="77">
        <v>371.4</v>
      </c>
      <c r="X216" s="77">
        <v>51.97</v>
      </c>
      <c r="Y216" s="77"/>
      <c r="Z216" s="77">
        <f>172.2+221.81+230.42</f>
        <v>624.43</v>
      </c>
      <c r="AA216" s="77">
        <v>0.0</v>
      </c>
      <c r="AB216" s="78">
        <f t="shared" si="38"/>
        <v>1418.85</v>
      </c>
      <c r="AC216" s="77"/>
      <c r="AD216" s="79">
        <v>0.0</v>
      </c>
      <c r="AE216" s="80">
        <f t="shared" si="83"/>
        <v>0</v>
      </c>
      <c r="AF216" s="81"/>
      <c r="AG216" s="79"/>
      <c r="AH216" s="80">
        <f t="shared" si="84"/>
        <v>0</v>
      </c>
      <c r="AI216" s="82"/>
      <c r="AJ216" s="82">
        <f t="shared" si="7"/>
        <v>0</v>
      </c>
      <c r="AK216" s="83">
        <f t="shared" si="41"/>
        <v>0</v>
      </c>
      <c r="AL216" s="84">
        <f t="shared" si="42"/>
        <v>1047.8</v>
      </c>
      <c r="AP216" s="85">
        <f t="shared" si="9"/>
        <v>1</v>
      </c>
      <c r="AQ216" s="20">
        <f t="shared" si="10"/>
        <v>1</v>
      </c>
      <c r="AR216" s="20">
        <f t="shared" si="11"/>
        <v>1</v>
      </c>
      <c r="AS216" s="86">
        <f t="shared" si="12"/>
        <v>13064.83</v>
      </c>
      <c r="AT216" s="87">
        <f t="shared" si="13"/>
        <v>37140.11</v>
      </c>
      <c r="AU216" s="88">
        <f t="shared" si="81"/>
        <v>30.03333333</v>
      </c>
      <c r="AV216" s="89" t="str">
        <f t="shared" si="15"/>
        <v>#VALUE!</v>
      </c>
      <c r="AW216" s="90" t="str">
        <f t="shared" si="16"/>
        <v>#VALUE!</v>
      </c>
      <c r="AY216" s="85">
        <f t="shared" si="17"/>
        <v>0</v>
      </c>
      <c r="AZ216" s="20">
        <f t="shared" si="18"/>
        <v>1</v>
      </c>
      <c r="BA216" s="20">
        <f t="shared" si="19"/>
        <v>0</v>
      </c>
      <c r="BB216" s="91">
        <f t="shared" si="20"/>
        <v>0</v>
      </c>
      <c r="BC216" s="87">
        <f t="shared" si="21"/>
        <v>0</v>
      </c>
      <c r="BD216" s="92">
        <f t="shared" si="22"/>
        <v>0</v>
      </c>
      <c r="BE216" s="89" t="str">
        <f t="shared" si="23"/>
        <v>#VALUE!</v>
      </c>
      <c r="BF216" s="90">
        <f t="shared" si="24"/>
        <v>0</v>
      </c>
      <c r="BH216" s="93">
        <f t="shared" si="25"/>
        <v>37140.11</v>
      </c>
      <c r="BI216" s="94">
        <f t="shared" si="26"/>
        <v>1</v>
      </c>
      <c r="BJ216" s="95" t="str">
        <f t="shared" si="27"/>
        <v>#VALUE!</v>
      </c>
      <c r="BK216" s="96" t="str">
        <f t="shared" si="28"/>
        <v>#VALUE!</v>
      </c>
      <c r="BM216" s="97">
        <f t="shared" si="29"/>
        <v>1</v>
      </c>
    </row>
    <row r="217" ht="12.75" customHeight="1">
      <c r="A217" s="65"/>
      <c r="B217" s="66" t="s">
        <v>444</v>
      </c>
      <c r="C217" s="67">
        <v>35394.95</v>
      </c>
      <c r="D217" s="68">
        <v>13.0</v>
      </c>
      <c r="E217" s="67">
        <v>34067.56</v>
      </c>
      <c r="F217" s="68" t="s">
        <v>56</v>
      </c>
      <c r="G217" s="69">
        <v>44088.0</v>
      </c>
      <c r="H217" s="71" t="s">
        <v>57</v>
      </c>
      <c r="I217" s="69">
        <v>44287.0</v>
      </c>
      <c r="J217" s="71">
        <v>12.766666666666667</v>
      </c>
      <c r="K217" s="72" t="s">
        <v>445</v>
      </c>
      <c r="L217" s="72">
        <v>45000.0</v>
      </c>
      <c r="M217" s="73">
        <v>598.9499999999999</v>
      </c>
      <c r="N217" s="73">
        <v>7803.99</v>
      </c>
      <c r="O217" s="73">
        <v>712.93</v>
      </c>
      <c r="P217" s="73">
        <f t="shared" si="70"/>
        <v>0</v>
      </c>
      <c r="Q217" s="73">
        <f t="shared" si="71"/>
        <v>0</v>
      </c>
      <c r="R217" s="74">
        <f t="shared" si="72"/>
        <v>0</v>
      </c>
      <c r="S217" s="74">
        <f t="shared" si="73"/>
        <v>1</v>
      </c>
      <c r="T217" s="75"/>
      <c r="V217" s="76">
        <v>333.0</v>
      </c>
      <c r="W217" s="77"/>
      <c r="X217" s="77">
        <v>23.31</v>
      </c>
      <c r="Y217" s="77"/>
      <c r="Z217" s="77">
        <f>183.6+240.84+151.2</f>
        <v>575.64</v>
      </c>
      <c r="AA217" s="77"/>
      <c r="AB217" s="78">
        <f t="shared" si="38"/>
        <v>931.95</v>
      </c>
      <c r="AC217" s="77"/>
      <c r="AD217" s="79">
        <v>0.0</v>
      </c>
      <c r="AE217" s="80">
        <f t="shared" si="83"/>
        <v>0</v>
      </c>
      <c r="AF217" s="81"/>
      <c r="AG217" s="79"/>
      <c r="AH217" s="80">
        <f t="shared" si="84"/>
        <v>0</v>
      </c>
      <c r="AI217" s="82"/>
      <c r="AJ217" s="82">
        <f t="shared" si="7"/>
        <v>0</v>
      </c>
      <c r="AK217" s="83" t="str">
        <f t="shared" si="41"/>
        <v/>
      </c>
      <c r="AL217" s="84">
        <f t="shared" si="42"/>
        <v>598.95</v>
      </c>
      <c r="AP217" s="85">
        <f t="shared" si="9"/>
        <v>1</v>
      </c>
      <c r="AQ217" s="20">
        <f t="shared" si="10"/>
        <v>1</v>
      </c>
      <c r="AR217" s="20">
        <f t="shared" si="11"/>
        <v>1</v>
      </c>
      <c r="AS217" s="86">
        <f t="shared" si="12"/>
        <v>8516.92</v>
      </c>
      <c r="AT217" s="87">
        <f t="shared" si="13"/>
        <v>34067.56</v>
      </c>
      <c r="AU217" s="88">
        <f t="shared" si="81"/>
        <v>12.76666667</v>
      </c>
      <c r="AV217" s="89" t="str">
        <f t="shared" si="15"/>
        <v>#VALUE!</v>
      </c>
      <c r="AW217" s="90" t="str">
        <f t="shared" si="16"/>
        <v>#VALUE!</v>
      </c>
      <c r="AY217" s="85">
        <f t="shared" si="17"/>
        <v>0</v>
      </c>
      <c r="AZ217" s="20">
        <f t="shared" si="18"/>
        <v>1</v>
      </c>
      <c r="BA217" s="20">
        <f t="shared" si="19"/>
        <v>0</v>
      </c>
      <c r="BB217" s="91">
        <f t="shared" si="20"/>
        <v>0</v>
      </c>
      <c r="BC217" s="87">
        <f t="shared" si="21"/>
        <v>0</v>
      </c>
      <c r="BD217" s="92">
        <f t="shared" si="22"/>
        <v>0</v>
      </c>
      <c r="BE217" s="89" t="str">
        <f t="shared" si="23"/>
        <v>#VALUE!</v>
      </c>
      <c r="BF217" s="90">
        <f t="shared" si="24"/>
        <v>0</v>
      </c>
      <c r="BH217" s="93">
        <f t="shared" si="25"/>
        <v>34067.56</v>
      </c>
      <c r="BI217" s="94">
        <f t="shared" si="26"/>
        <v>1</v>
      </c>
      <c r="BJ217" s="95" t="str">
        <f t="shared" si="27"/>
        <v>#VALUE!</v>
      </c>
      <c r="BK217" s="96" t="str">
        <f t="shared" si="28"/>
        <v>#VALUE!</v>
      </c>
      <c r="BM217" s="97">
        <f t="shared" si="29"/>
        <v>1</v>
      </c>
    </row>
    <row r="218" ht="12.75" customHeight="1">
      <c r="A218" s="65"/>
      <c r="B218" s="66" t="s">
        <v>446</v>
      </c>
      <c r="C218" s="67">
        <v>30150.0</v>
      </c>
      <c r="D218" s="68">
        <v>13.0</v>
      </c>
      <c r="E218" s="67">
        <v>28170.81</v>
      </c>
      <c r="F218" s="68" t="s">
        <v>56</v>
      </c>
      <c r="G218" s="69">
        <v>44088.0</v>
      </c>
      <c r="H218" s="71" t="s">
        <v>57</v>
      </c>
      <c r="I218" s="69">
        <v>44315.0</v>
      </c>
      <c r="J218" s="71">
        <f t="shared" ref="J218:J240" si="85">IF(I218="Active",0,(IF(I218="N/A","N/A",(I218-G218)/30)))</f>
        <v>7.566666667</v>
      </c>
      <c r="K218" s="72" t="s">
        <v>447</v>
      </c>
      <c r="L218" s="72">
        <v>55000.0</v>
      </c>
      <c r="M218" s="73">
        <v>1480.8</v>
      </c>
      <c r="N218" s="73">
        <v>6818.36</v>
      </c>
      <c r="O218" s="73">
        <v>3200.0</v>
      </c>
      <c r="P218" s="73">
        <f t="shared" si="70"/>
        <v>0</v>
      </c>
      <c r="Q218" s="73">
        <f t="shared" si="71"/>
        <v>0</v>
      </c>
      <c r="R218" s="74">
        <f t="shared" si="72"/>
        <v>0</v>
      </c>
      <c r="S218" s="74">
        <f t="shared" si="73"/>
        <v>1</v>
      </c>
      <c r="T218" s="75"/>
      <c r="V218" s="76">
        <v>280.0</v>
      </c>
      <c r="W218" s="77"/>
      <c r="X218" s="77">
        <v>19.6</v>
      </c>
      <c r="Y218" s="77"/>
      <c r="Z218" s="77">
        <f>219.45+266+156.1</f>
        <v>641.55</v>
      </c>
      <c r="AA218" s="77">
        <v>4817.75</v>
      </c>
      <c r="AB218" s="78">
        <f t="shared" si="38"/>
        <v>5758.9</v>
      </c>
      <c r="AC218" s="77"/>
      <c r="AD218" s="79">
        <v>0.059</v>
      </c>
      <c r="AE218" s="80">
        <f t="shared" si="83"/>
        <v>819.6548005</v>
      </c>
      <c r="AF218" s="81"/>
      <c r="AG218" s="79"/>
      <c r="AH218" s="80">
        <f t="shared" si="84"/>
        <v>0</v>
      </c>
      <c r="AI218" s="82"/>
      <c r="AJ218" s="82">
        <f t="shared" si="7"/>
        <v>819.6548005</v>
      </c>
      <c r="AK218" s="83">
        <f t="shared" si="41"/>
        <v>819.6548005</v>
      </c>
      <c r="AL218" s="84">
        <f t="shared" si="42"/>
        <v>1480.804801</v>
      </c>
      <c r="AP218" s="85">
        <f t="shared" si="9"/>
        <v>1</v>
      </c>
      <c r="AQ218" s="20">
        <f t="shared" si="10"/>
        <v>1</v>
      </c>
      <c r="AR218" s="20">
        <f t="shared" si="11"/>
        <v>1</v>
      </c>
      <c r="AS218" s="86">
        <f t="shared" si="12"/>
        <v>10018.36</v>
      </c>
      <c r="AT218" s="87">
        <f t="shared" si="13"/>
        <v>28170.81</v>
      </c>
      <c r="AU218" s="88">
        <f t="shared" si="81"/>
        <v>7.566666667</v>
      </c>
      <c r="AV218" s="89" t="str">
        <f t="shared" si="15"/>
        <v>#VALUE!</v>
      </c>
      <c r="AW218" s="90" t="str">
        <f t="shared" si="16"/>
        <v>#VALUE!</v>
      </c>
      <c r="AY218" s="85">
        <f t="shared" si="17"/>
        <v>0</v>
      </c>
      <c r="AZ218" s="20">
        <f t="shared" si="18"/>
        <v>1</v>
      </c>
      <c r="BA218" s="20">
        <f t="shared" si="19"/>
        <v>0</v>
      </c>
      <c r="BB218" s="91">
        <f t="shared" si="20"/>
        <v>0</v>
      </c>
      <c r="BC218" s="87">
        <f t="shared" si="21"/>
        <v>0</v>
      </c>
      <c r="BD218" s="92">
        <f t="shared" si="22"/>
        <v>0</v>
      </c>
      <c r="BE218" s="89" t="str">
        <f t="shared" si="23"/>
        <v>#VALUE!</v>
      </c>
      <c r="BF218" s="90">
        <f t="shared" si="24"/>
        <v>0</v>
      </c>
      <c r="BH218" s="93">
        <f t="shared" si="25"/>
        <v>28170.81</v>
      </c>
      <c r="BI218" s="94">
        <f t="shared" si="26"/>
        <v>1</v>
      </c>
      <c r="BJ218" s="95" t="str">
        <f t="shared" si="27"/>
        <v>#VALUE!</v>
      </c>
      <c r="BK218" s="96" t="str">
        <f t="shared" si="28"/>
        <v>#VALUE!</v>
      </c>
      <c r="BM218" s="97">
        <f t="shared" si="29"/>
        <v>1</v>
      </c>
    </row>
    <row r="219" ht="12.75" customHeight="1">
      <c r="A219" s="65"/>
      <c r="B219" s="66" t="s">
        <v>448</v>
      </c>
      <c r="C219" s="67">
        <v>40500.0</v>
      </c>
      <c r="D219" s="68">
        <v>13.0</v>
      </c>
      <c r="E219" s="67">
        <v>39533.94</v>
      </c>
      <c r="F219" s="68" t="s">
        <v>56</v>
      </c>
      <c r="G219" s="69">
        <v>44099.0</v>
      </c>
      <c r="H219" s="71" t="s">
        <v>57</v>
      </c>
      <c r="I219" s="69">
        <v>44404.0</v>
      </c>
      <c r="J219" s="71">
        <f t="shared" si="85"/>
        <v>10.16666667</v>
      </c>
      <c r="K219" s="72" t="s">
        <v>449</v>
      </c>
      <c r="L219" s="72">
        <v>50000.0</v>
      </c>
      <c r="M219" s="73">
        <v>1490.89</v>
      </c>
      <c r="N219" s="73">
        <v>10549.96</v>
      </c>
      <c r="O219" s="73">
        <v>245.16</v>
      </c>
      <c r="P219" s="73">
        <f t="shared" si="70"/>
        <v>0</v>
      </c>
      <c r="Q219" s="73">
        <f t="shared" si="71"/>
        <v>1819.95</v>
      </c>
      <c r="R219" s="74">
        <f t="shared" si="72"/>
        <v>0.0460351283</v>
      </c>
      <c r="S219" s="74">
        <f t="shared" si="73"/>
        <v>0.9539648717</v>
      </c>
      <c r="T219" s="75"/>
      <c r="V219" s="76">
        <v>286.75</v>
      </c>
      <c r="W219" s="77"/>
      <c r="X219" s="77">
        <v>20.07</v>
      </c>
      <c r="Y219" s="77"/>
      <c r="Z219" s="77">
        <f>180.42+140.12</f>
        <v>320.54</v>
      </c>
      <c r="AA219" s="77">
        <v>7488.24</v>
      </c>
      <c r="AB219" s="78">
        <f t="shared" si="38"/>
        <v>8115.6</v>
      </c>
      <c r="AC219" s="77"/>
      <c r="AD219" s="79">
        <v>0.059</v>
      </c>
      <c r="AE219" s="80">
        <f t="shared" si="83"/>
        <v>1150.275186</v>
      </c>
      <c r="AF219" s="81"/>
      <c r="AG219" s="79"/>
      <c r="AH219" s="80">
        <f t="shared" si="84"/>
        <v>0</v>
      </c>
      <c r="AI219" s="82"/>
      <c r="AJ219" s="82">
        <f t="shared" si="7"/>
        <v>1150.275186</v>
      </c>
      <c r="AK219" s="83">
        <f t="shared" si="41"/>
        <v>1150.275186</v>
      </c>
      <c r="AL219" s="84">
        <f t="shared" si="42"/>
        <v>1490.885186</v>
      </c>
      <c r="AP219" s="85">
        <f t="shared" si="9"/>
        <v>1</v>
      </c>
      <c r="AQ219" s="20">
        <f t="shared" si="10"/>
        <v>1</v>
      </c>
      <c r="AR219" s="20">
        <f t="shared" si="11"/>
        <v>1</v>
      </c>
      <c r="AS219" s="86">
        <f t="shared" si="12"/>
        <v>10795.12</v>
      </c>
      <c r="AT219" s="87">
        <f t="shared" si="13"/>
        <v>39533.94</v>
      </c>
      <c r="AU219" s="88">
        <f t="shared" si="81"/>
        <v>10.16666667</v>
      </c>
      <c r="AV219" s="89" t="str">
        <f t="shared" si="15"/>
        <v>#VALUE!</v>
      </c>
      <c r="AW219" s="90" t="str">
        <f t="shared" si="16"/>
        <v>#VALUE!</v>
      </c>
      <c r="AY219" s="85">
        <f t="shared" si="17"/>
        <v>0</v>
      </c>
      <c r="AZ219" s="20">
        <f t="shared" si="18"/>
        <v>1</v>
      </c>
      <c r="BA219" s="20">
        <f t="shared" si="19"/>
        <v>0</v>
      </c>
      <c r="BB219" s="91">
        <f t="shared" si="20"/>
        <v>0</v>
      </c>
      <c r="BC219" s="87">
        <f t="shared" si="21"/>
        <v>0</v>
      </c>
      <c r="BD219" s="92">
        <f t="shared" si="22"/>
        <v>0</v>
      </c>
      <c r="BE219" s="89" t="str">
        <f t="shared" si="23"/>
        <v>#VALUE!</v>
      </c>
      <c r="BF219" s="90">
        <f t="shared" si="24"/>
        <v>0</v>
      </c>
      <c r="BH219" s="93">
        <f t="shared" si="25"/>
        <v>39533.94</v>
      </c>
      <c r="BI219" s="94">
        <f t="shared" si="26"/>
        <v>1</v>
      </c>
      <c r="BJ219" s="95" t="str">
        <f t="shared" si="27"/>
        <v>#VALUE!</v>
      </c>
      <c r="BK219" s="96" t="str">
        <f t="shared" si="28"/>
        <v>#VALUE!</v>
      </c>
      <c r="BM219" s="97">
        <f t="shared" si="29"/>
        <v>1</v>
      </c>
    </row>
    <row r="220" ht="12.75" customHeight="1">
      <c r="A220" s="65"/>
      <c r="B220" s="66" t="s">
        <v>450</v>
      </c>
      <c r="C220" s="67">
        <v>35200.0</v>
      </c>
      <c r="D220" s="68">
        <v>13.0</v>
      </c>
      <c r="E220" s="67">
        <v>31716.89</v>
      </c>
      <c r="F220" s="68" t="s">
        <v>56</v>
      </c>
      <c r="G220" s="69">
        <v>44105.0</v>
      </c>
      <c r="H220" s="71" t="s">
        <v>57</v>
      </c>
      <c r="I220" s="69">
        <v>44459.0</v>
      </c>
      <c r="J220" s="71">
        <f t="shared" si="85"/>
        <v>11.8</v>
      </c>
      <c r="K220" s="72" t="s">
        <v>451</v>
      </c>
      <c r="L220" s="72">
        <v>54000.0</v>
      </c>
      <c r="M220" s="73">
        <v>1904.0</v>
      </c>
      <c r="N220" s="73">
        <v>8124.1</v>
      </c>
      <c r="O220" s="73">
        <v>2187.35</v>
      </c>
      <c r="P220" s="73">
        <f t="shared" si="70"/>
        <v>0</v>
      </c>
      <c r="Q220" s="73">
        <f t="shared" si="71"/>
        <v>0</v>
      </c>
      <c r="R220" s="74">
        <f t="shared" si="72"/>
        <v>0</v>
      </c>
      <c r="S220" s="74">
        <f t="shared" si="73"/>
        <v>1</v>
      </c>
      <c r="T220" s="75"/>
      <c r="V220" s="76">
        <v>204.0</v>
      </c>
      <c r="W220" s="77"/>
      <c r="X220" s="77">
        <v>14.28</v>
      </c>
      <c r="Y220" s="77">
        <v>152.24</v>
      </c>
      <c r="Z220" s="77">
        <f>91.97+330.14+83.13+155.72+59.84</f>
        <v>720.8</v>
      </c>
      <c r="AA220" s="77">
        <f>2517.48+1316.53</f>
        <v>3834.01</v>
      </c>
      <c r="AB220" s="78">
        <f t="shared" si="38"/>
        <v>4925.33</v>
      </c>
      <c r="AC220" s="77">
        <v>20445.22</v>
      </c>
      <c r="AD220" s="79">
        <v>0.065</v>
      </c>
      <c r="AE220" s="80">
        <f>((AC220*AD220)/365)*180</f>
        <v>655.367326</v>
      </c>
      <c r="AF220" s="81">
        <v>11271.67</v>
      </c>
      <c r="AG220" s="79">
        <v>0.065</v>
      </c>
      <c r="AH220" s="80">
        <f>((AF220*AG220)/365)*180</f>
        <v>361.3110658</v>
      </c>
      <c r="AI220" s="82">
        <f>AC220+AF220</f>
        <v>31716.89</v>
      </c>
      <c r="AJ220" s="82">
        <f t="shared" si="7"/>
        <v>1016.678392</v>
      </c>
      <c r="AK220" s="83">
        <f t="shared" si="41"/>
        <v>1016.678392</v>
      </c>
      <c r="AL220" s="84">
        <f t="shared" si="42"/>
        <v>1903.998392</v>
      </c>
      <c r="AP220" s="85">
        <f t="shared" si="9"/>
        <v>1</v>
      </c>
      <c r="AQ220" s="20">
        <f t="shared" si="10"/>
        <v>1</v>
      </c>
      <c r="AR220" s="20">
        <f t="shared" si="11"/>
        <v>1</v>
      </c>
      <c r="AS220" s="86">
        <f t="shared" si="12"/>
        <v>10311.45</v>
      </c>
      <c r="AT220" s="87">
        <f t="shared" si="13"/>
        <v>31716.89</v>
      </c>
      <c r="AU220" s="88">
        <f t="shared" si="81"/>
        <v>11.8</v>
      </c>
      <c r="AV220" s="89" t="str">
        <f t="shared" si="15"/>
        <v>#VALUE!</v>
      </c>
      <c r="AW220" s="90" t="str">
        <f t="shared" si="16"/>
        <v>#VALUE!</v>
      </c>
      <c r="AY220" s="85">
        <f t="shared" si="17"/>
        <v>0</v>
      </c>
      <c r="AZ220" s="20">
        <f t="shared" si="18"/>
        <v>1</v>
      </c>
      <c r="BA220" s="20">
        <f t="shared" si="19"/>
        <v>0</v>
      </c>
      <c r="BB220" s="91">
        <f t="shared" si="20"/>
        <v>0</v>
      </c>
      <c r="BC220" s="87">
        <f t="shared" si="21"/>
        <v>0</v>
      </c>
      <c r="BD220" s="92">
        <f t="shared" si="22"/>
        <v>0</v>
      </c>
      <c r="BE220" s="89" t="str">
        <f t="shared" si="23"/>
        <v>#VALUE!</v>
      </c>
      <c r="BF220" s="90">
        <f t="shared" si="24"/>
        <v>0</v>
      </c>
      <c r="BH220" s="93">
        <f t="shared" si="25"/>
        <v>31716.89</v>
      </c>
      <c r="BI220" s="94">
        <f t="shared" si="26"/>
        <v>1</v>
      </c>
      <c r="BJ220" s="95" t="str">
        <f t="shared" si="27"/>
        <v>#VALUE!</v>
      </c>
      <c r="BK220" s="96" t="str">
        <f t="shared" si="28"/>
        <v>#VALUE!</v>
      </c>
      <c r="BM220" s="97">
        <f t="shared" si="29"/>
        <v>1</v>
      </c>
    </row>
    <row r="221" ht="12.75" customHeight="1">
      <c r="A221" s="65"/>
      <c r="B221" s="66" t="s">
        <v>452</v>
      </c>
      <c r="C221" s="67">
        <v>66825.0</v>
      </c>
      <c r="D221" s="68">
        <v>13.0</v>
      </c>
      <c r="E221" s="67">
        <v>65013.63</v>
      </c>
      <c r="F221" s="68" t="s">
        <v>56</v>
      </c>
      <c r="G221" s="69">
        <v>44110.0</v>
      </c>
      <c r="H221" s="71" t="s">
        <v>57</v>
      </c>
      <c r="I221" s="69">
        <v>44533.0</v>
      </c>
      <c r="J221" s="71">
        <f t="shared" si="85"/>
        <v>14.1</v>
      </c>
      <c r="K221" s="72" t="s">
        <v>453</v>
      </c>
      <c r="L221" s="72">
        <v>79000.0</v>
      </c>
      <c r="M221" s="73">
        <v>1497.0</v>
      </c>
      <c r="N221" s="73">
        <v>7689.44</v>
      </c>
      <c r="O221" s="73">
        <v>100.0</v>
      </c>
      <c r="P221" s="73">
        <f t="shared" si="70"/>
        <v>0</v>
      </c>
      <c r="Q221" s="73">
        <f t="shared" si="71"/>
        <v>0</v>
      </c>
      <c r="R221" s="74">
        <f t="shared" si="72"/>
        <v>0</v>
      </c>
      <c r="S221" s="74">
        <f t="shared" si="73"/>
        <v>1</v>
      </c>
      <c r="T221" s="75"/>
      <c r="V221" s="76">
        <v>351.5</v>
      </c>
      <c r="W221" s="77"/>
      <c r="X221" s="77">
        <v>24.61</v>
      </c>
      <c r="Y221" s="77"/>
      <c r="Z221" s="77">
        <f>375.06+346.56+269.42</f>
        <v>991.04</v>
      </c>
      <c r="AA221" s="77">
        <v>3040.5</v>
      </c>
      <c r="AB221" s="78">
        <f t="shared" si="38"/>
        <v>4407.65</v>
      </c>
      <c r="AC221" s="77"/>
      <c r="AD221" s="79">
        <v>0.015</v>
      </c>
      <c r="AE221" s="80">
        <f t="shared" ref="AE221:AE224" si="86">((E221*AD221)/365)*180</f>
        <v>480.9227425</v>
      </c>
      <c r="AF221" s="81"/>
      <c r="AG221" s="79"/>
      <c r="AH221" s="80">
        <f t="shared" ref="AH221:AH224" si="87">((E221*AG221)/365)*180</f>
        <v>0</v>
      </c>
      <c r="AI221" s="82"/>
      <c r="AJ221" s="82">
        <f t="shared" si="7"/>
        <v>480.9227425</v>
      </c>
      <c r="AK221" s="83">
        <f t="shared" si="41"/>
        <v>480.9227425</v>
      </c>
      <c r="AL221" s="84">
        <f t="shared" si="42"/>
        <v>1496.572742</v>
      </c>
      <c r="AP221" s="85">
        <f t="shared" si="9"/>
        <v>1</v>
      </c>
      <c r="AQ221" s="20">
        <f t="shared" si="10"/>
        <v>1</v>
      </c>
      <c r="AR221" s="20">
        <f t="shared" si="11"/>
        <v>1</v>
      </c>
      <c r="AS221" s="86">
        <f t="shared" si="12"/>
        <v>7789.44</v>
      </c>
      <c r="AT221" s="87">
        <f t="shared" si="13"/>
        <v>65013.63</v>
      </c>
      <c r="AU221" s="88">
        <f t="shared" si="81"/>
        <v>14.1</v>
      </c>
      <c r="AV221" s="89" t="str">
        <f t="shared" si="15"/>
        <v>#VALUE!</v>
      </c>
      <c r="AW221" s="90" t="str">
        <f t="shared" si="16"/>
        <v>#VALUE!</v>
      </c>
      <c r="AY221" s="85">
        <f t="shared" si="17"/>
        <v>0</v>
      </c>
      <c r="AZ221" s="20">
        <f t="shared" si="18"/>
        <v>1</v>
      </c>
      <c r="BA221" s="20">
        <f t="shared" si="19"/>
        <v>0</v>
      </c>
      <c r="BB221" s="91">
        <f t="shared" si="20"/>
        <v>0</v>
      </c>
      <c r="BC221" s="87">
        <f t="shared" si="21"/>
        <v>0</v>
      </c>
      <c r="BD221" s="92">
        <f t="shared" si="22"/>
        <v>0</v>
      </c>
      <c r="BE221" s="89" t="str">
        <f t="shared" si="23"/>
        <v>#VALUE!</v>
      </c>
      <c r="BF221" s="90">
        <f t="shared" si="24"/>
        <v>0</v>
      </c>
      <c r="BH221" s="93">
        <f t="shared" si="25"/>
        <v>65013.63</v>
      </c>
      <c r="BI221" s="94">
        <f t="shared" si="26"/>
        <v>1</v>
      </c>
      <c r="BJ221" s="95" t="str">
        <f t="shared" si="27"/>
        <v>#VALUE!</v>
      </c>
      <c r="BK221" s="96" t="str">
        <f t="shared" si="28"/>
        <v>#VALUE!</v>
      </c>
      <c r="BM221" s="97">
        <f t="shared" si="29"/>
        <v>1</v>
      </c>
    </row>
    <row r="222" ht="12.75" customHeight="1">
      <c r="A222" s="65"/>
      <c r="B222" s="66" t="s">
        <v>454</v>
      </c>
      <c r="C222" s="67">
        <v>29700.0</v>
      </c>
      <c r="D222" s="68">
        <v>13.0</v>
      </c>
      <c r="E222" s="67">
        <v>24622.13</v>
      </c>
      <c r="F222" s="68" t="s">
        <v>56</v>
      </c>
      <c r="G222" s="69">
        <v>44158.0</v>
      </c>
      <c r="H222" s="71" t="s">
        <v>57</v>
      </c>
      <c r="I222" s="69">
        <v>44777.0</v>
      </c>
      <c r="J222" s="71">
        <f t="shared" si="85"/>
        <v>20.63333333</v>
      </c>
      <c r="K222" s="98" t="s">
        <v>455</v>
      </c>
      <c r="L222" s="72">
        <v>37500.0</v>
      </c>
      <c r="M222" s="73">
        <v>465.27</v>
      </c>
      <c r="N222" s="73">
        <v>6727.41</v>
      </c>
      <c r="O222" s="73">
        <v>4409.38</v>
      </c>
      <c r="P222" s="73">
        <f t="shared" si="70"/>
        <v>0</v>
      </c>
      <c r="Q222" s="73">
        <f t="shared" si="71"/>
        <v>0</v>
      </c>
      <c r="R222" s="74">
        <f t="shared" si="72"/>
        <v>0</v>
      </c>
      <c r="S222" s="74">
        <f t="shared" si="73"/>
        <v>1</v>
      </c>
      <c r="T222" s="75"/>
      <c r="V222" s="76">
        <v>312.0</v>
      </c>
      <c r="W222" s="77"/>
      <c r="X222" s="77">
        <v>21.84</v>
      </c>
      <c r="Y222" s="77"/>
      <c r="Z222" s="77">
        <f>155.61+121.68+166.14</f>
        <v>443.43</v>
      </c>
      <c r="AA222" s="77"/>
      <c r="AB222" s="78">
        <f t="shared" si="38"/>
        <v>777.27</v>
      </c>
      <c r="AC222" s="77"/>
      <c r="AD222" s="79">
        <v>0.0</v>
      </c>
      <c r="AE222" s="80">
        <f t="shared" si="86"/>
        <v>0</v>
      </c>
      <c r="AF222" s="81"/>
      <c r="AG222" s="79"/>
      <c r="AH222" s="80">
        <f t="shared" si="87"/>
        <v>0</v>
      </c>
      <c r="AI222" s="82"/>
      <c r="AJ222" s="82">
        <f t="shared" si="7"/>
        <v>0</v>
      </c>
      <c r="AK222" s="83" t="str">
        <f t="shared" si="41"/>
        <v/>
      </c>
      <c r="AL222" s="84">
        <f t="shared" si="42"/>
        <v>465.27</v>
      </c>
      <c r="AP222" s="85">
        <f t="shared" si="9"/>
        <v>1</v>
      </c>
      <c r="AQ222" s="20">
        <f t="shared" si="10"/>
        <v>1</v>
      </c>
      <c r="AR222" s="20">
        <f t="shared" si="11"/>
        <v>1</v>
      </c>
      <c r="AS222" s="86">
        <f t="shared" si="12"/>
        <v>11136.79</v>
      </c>
      <c r="AT222" s="87">
        <f t="shared" si="13"/>
        <v>24622.13</v>
      </c>
      <c r="AU222" s="88">
        <f t="shared" si="81"/>
        <v>20.63333333</v>
      </c>
      <c r="AV222" s="89" t="str">
        <f t="shared" si="15"/>
        <v>#VALUE!</v>
      </c>
      <c r="AW222" s="90" t="str">
        <f t="shared" si="16"/>
        <v>#VALUE!</v>
      </c>
      <c r="AY222" s="85">
        <f t="shared" si="17"/>
        <v>0</v>
      </c>
      <c r="AZ222" s="20">
        <f t="shared" si="18"/>
        <v>1</v>
      </c>
      <c r="BA222" s="20">
        <f t="shared" si="19"/>
        <v>0</v>
      </c>
      <c r="BB222" s="91">
        <f t="shared" si="20"/>
        <v>0</v>
      </c>
      <c r="BC222" s="87">
        <f t="shared" si="21"/>
        <v>0</v>
      </c>
      <c r="BD222" s="92">
        <f t="shared" si="22"/>
        <v>0</v>
      </c>
      <c r="BE222" s="89" t="str">
        <f t="shared" si="23"/>
        <v>#VALUE!</v>
      </c>
      <c r="BF222" s="90">
        <f t="shared" si="24"/>
        <v>0</v>
      </c>
      <c r="BH222" s="93">
        <f t="shared" si="25"/>
        <v>24622.13</v>
      </c>
      <c r="BI222" s="94">
        <f t="shared" si="26"/>
        <v>1</v>
      </c>
      <c r="BJ222" s="95" t="str">
        <f t="shared" si="27"/>
        <v>#VALUE!</v>
      </c>
      <c r="BK222" s="96" t="str">
        <f t="shared" si="28"/>
        <v>#VALUE!</v>
      </c>
      <c r="BM222" s="97">
        <f t="shared" si="29"/>
        <v>1</v>
      </c>
    </row>
    <row r="223" ht="12.75" customHeight="1">
      <c r="A223" s="65"/>
      <c r="B223" s="66" t="s">
        <v>456</v>
      </c>
      <c r="C223" s="67">
        <v>30350.0</v>
      </c>
      <c r="D223" s="68">
        <v>13.0</v>
      </c>
      <c r="E223" s="67">
        <v>24601.64</v>
      </c>
      <c r="F223" s="68" t="s">
        <v>56</v>
      </c>
      <c r="G223" s="69">
        <v>44158.0</v>
      </c>
      <c r="H223" s="71" t="s">
        <v>57</v>
      </c>
      <c r="I223" s="69">
        <v>44280.0</v>
      </c>
      <c r="J223" s="71">
        <f t="shared" si="85"/>
        <v>4.066666667</v>
      </c>
      <c r="K223" s="72" t="s">
        <v>457</v>
      </c>
      <c r="L223" s="72">
        <v>42750.0</v>
      </c>
      <c r="M223" s="73">
        <v>357.56</v>
      </c>
      <c r="N223" s="73">
        <v>4154.23</v>
      </c>
      <c r="O223" s="73">
        <v>0.0</v>
      </c>
      <c r="P223" s="73">
        <f t="shared" si="70"/>
        <v>0</v>
      </c>
      <c r="Q223" s="73">
        <f t="shared" si="71"/>
        <v>0</v>
      </c>
      <c r="R223" s="74">
        <f t="shared" si="72"/>
        <v>0</v>
      </c>
      <c r="S223" s="74">
        <f t="shared" si="73"/>
        <v>1</v>
      </c>
      <c r="T223" s="75"/>
      <c r="V223" s="76">
        <v>224.0</v>
      </c>
      <c r="W223" s="77"/>
      <c r="X223" s="77">
        <v>15.68</v>
      </c>
      <c r="Y223" s="77"/>
      <c r="Z223" s="77">
        <f>130.48+89.32+122.08</f>
        <v>341.88</v>
      </c>
      <c r="AA223" s="77"/>
      <c r="AB223" s="78">
        <f t="shared" si="38"/>
        <v>581.56</v>
      </c>
      <c r="AC223" s="77"/>
      <c r="AD223" s="79">
        <v>0.0</v>
      </c>
      <c r="AE223" s="80">
        <f t="shared" si="86"/>
        <v>0</v>
      </c>
      <c r="AF223" s="81"/>
      <c r="AG223" s="79"/>
      <c r="AH223" s="80">
        <f t="shared" si="87"/>
        <v>0</v>
      </c>
      <c r="AI223" s="82"/>
      <c r="AJ223" s="82">
        <f t="shared" si="7"/>
        <v>0</v>
      </c>
      <c r="AK223" s="83" t="str">
        <f t="shared" si="41"/>
        <v/>
      </c>
      <c r="AL223" s="84">
        <f t="shared" si="42"/>
        <v>357.56</v>
      </c>
      <c r="AP223" s="85">
        <f t="shared" si="9"/>
        <v>1</v>
      </c>
      <c r="AQ223" s="20">
        <f t="shared" si="10"/>
        <v>1</v>
      </c>
      <c r="AR223" s="20">
        <f t="shared" si="11"/>
        <v>1</v>
      </c>
      <c r="AS223" s="86">
        <f t="shared" si="12"/>
        <v>4154.23</v>
      </c>
      <c r="AT223" s="87">
        <f t="shared" si="13"/>
        <v>24601.64</v>
      </c>
      <c r="AU223" s="88">
        <f t="shared" si="81"/>
        <v>4.066666667</v>
      </c>
      <c r="AV223" s="89" t="str">
        <f t="shared" si="15"/>
        <v>#VALUE!</v>
      </c>
      <c r="AW223" s="90" t="str">
        <f t="shared" si="16"/>
        <v>#VALUE!</v>
      </c>
      <c r="AY223" s="85">
        <f t="shared" si="17"/>
        <v>0</v>
      </c>
      <c r="AZ223" s="20">
        <f t="shared" si="18"/>
        <v>1</v>
      </c>
      <c r="BA223" s="20">
        <f t="shared" si="19"/>
        <v>0</v>
      </c>
      <c r="BB223" s="91">
        <f t="shared" si="20"/>
        <v>0</v>
      </c>
      <c r="BC223" s="87">
        <f t="shared" si="21"/>
        <v>0</v>
      </c>
      <c r="BD223" s="92">
        <f t="shared" si="22"/>
        <v>0</v>
      </c>
      <c r="BE223" s="89" t="str">
        <f t="shared" si="23"/>
        <v>#VALUE!</v>
      </c>
      <c r="BF223" s="90">
        <f t="shared" si="24"/>
        <v>0</v>
      </c>
      <c r="BH223" s="93">
        <f t="shared" si="25"/>
        <v>24601.64</v>
      </c>
      <c r="BI223" s="94">
        <f t="shared" si="26"/>
        <v>1</v>
      </c>
      <c r="BJ223" s="95" t="str">
        <f t="shared" si="27"/>
        <v>#VALUE!</v>
      </c>
      <c r="BK223" s="96" t="str">
        <f t="shared" si="28"/>
        <v>#VALUE!</v>
      </c>
      <c r="BM223" s="97">
        <f t="shared" si="29"/>
        <v>1</v>
      </c>
    </row>
    <row r="224" ht="12.75" customHeight="1">
      <c r="A224" s="65"/>
      <c r="B224" s="66" t="s">
        <v>458</v>
      </c>
      <c r="C224" s="67">
        <v>42570.0</v>
      </c>
      <c r="D224" s="68">
        <v>13.0</v>
      </c>
      <c r="E224" s="67">
        <v>41274.39</v>
      </c>
      <c r="F224" s="68" t="s">
        <v>56</v>
      </c>
      <c r="G224" s="69">
        <v>44159.0</v>
      </c>
      <c r="H224" s="71" t="s">
        <v>57</v>
      </c>
      <c r="I224" s="69">
        <v>44377.0</v>
      </c>
      <c r="J224" s="71">
        <f t="shared" si="85"/>
        <v>7.266666667</v>
      </c>
      <c r="K224" s="72" t="s">
        <v>459</v>
      </c>
      <c r="L224" s="72">
        <v>46000.0</v>
      </c>
      <c r="M224" s="73">
        <v>613.78</v>
      </c>
      <c r="N224" s="73">
        <v>7277.0</v>
      </c>
      <c r="O224" s="73">
        <v>2050.0</v>
      </c>
      <c r="P224" s="73">
        <f t="shared" si="70"/>
        <v>0</v>
      </c>
      <c r="Q224" s="73">
        <f t="shared" si="71"/>
        <v>5215.17</v>
      </c>
      <c r="R224" s="74">
        <f t="shared" si="72"/>
        <v>0.1263536542</v>
      </c>
      <c r="S224" s="74">
        <f t="shared" si="73"/>
        <v>0.8736463458</v>
      </c>
      <c r="T224" s="75"/>
      <c r="V224" s="76">
        <v>296.0</v>
      </c>
      <c r="W224" s="77"/>
      <c r="X224" s="77">
        <v>20.72</v>
      </c>
      <c r="Y224" s="77"/>
      <c r="Z224" s="77">
        <f>143.04+144.64</f>
        <v>287.68</v>
      </c>
      <c r="AA224" s="77">
        <v>1671.9</v>
      </c>
      <c r="AB224" s="78">
        <f t="shared" si="38"/>
        <v>2276.3</v>
      </c>
      <c r="AC224" s="77"/>
      <c r="AD224" s="79">
        <v>0.015</v>
      </c>
      <c r="AE224" s="80">
        <f t="shared" si="86"/>
        <v>305.3174055</v>
      </c>
      <c r="AF224" s="81"/>
      <c r="AG224" s="79"/>
      <c r="AH224" s="80">
        <f t="shared" si="87"/>
        <v>0</v>
      </c>
      <c r="AI224" s="82"/>
      <c r="AJ224" s="82">
        <f t="shared" si="7"/>
        <v>305.3174055</v>
      </c>
      <c r="AK224" s="83">
        <f t="shared" si="41"/>
        <v>305.3174055</v>
      </c>
      <c r="AL224" s="84">
        <f t="shared" si="42"/>
        <v>613.7174055</v>
      </c>
      <c r="AP224" s="85">
        <f t="shared" si="9"/>
        <v>1</v>
      </c>
      <c r="AQ224" s="20">
        <f t="shared" si="10"/>
        <v>1</v>
      </c>
      <c r="AR224" s="20">
        <f t="shared" si="11"/>
        <v>1</v>
      </c>
      <c r="AS224" s="86">
        <f t="shared" si="12"/>
        <v>9327</v>
      </c>
      <c r="AT224" s="87">
        <f t="shared" si="13"/>
        <v>41274.39</v>
      </c>
      <c r="AU224" s="88">
        <f t="shared" si="81"/>
        <v>7.266666667</v>
      </c>
      <c r="AV224" s="89" t="str">
        <f t="shared" si="15"/>
        <v>#VALUE!</v>
      </c>
      <c r="AW224" s="90" t="str">
        <f t="shared" si="16"/>
        <v>#VALUE!</v>
      </c>
      <c r="AY224" s="85">
        <f t="shared" si="17"/>
        <v>0</v>
      </c>
      <c r="AZ224" s="20">
        <f t="shared" si="18"/>
        <v>1</v>
      </c>
      <c r="BA224" s="20">
        <f t="shared" si="19"/>
        <v>0</v>
      </c>
      <c r="BB224" s="91">
        <f t="shared" si="20"/>
        <v>0</v>
      </c>
      <c r="BC224" s="87">
        <f t="shared" si="21"/>
        <v>0</v>
      </c>
      <c r="BD224" s="92">
        <f t="shared" si="22"/>
        <v>0</v>
      </c>
      <c r="BE224" s="89" t="str">
        <f t="shared" si="23"/>
        <v>#VALUE!</v>
      </c>
      <c r="BF224" s="90">
        <f t="shared" si="24"/>
        <v>0</v>
      </c>
      <c r="BH224" s="93">
        <f t="shared" si="25"/>
        <v>41274.39</v>
      </c>
      <c r="BI224" s="94">
        <f t="shared" si="26"/>
        <v>1</v>
      </c>
      <c r="BJ224" s="95" t="str">
        <f t="shared" si="27"/>
        <v>#VALUE!</v>
      </c>
      <c r="BK224" s="96" t="str">
        <f t="shared" si="28"/>
        <v>#VALUE!</v>
      </c>
      <c r="BM224" s="97">
        <f t="shared" si="29"/>
        <v>1</v>
      </c>
    </row>
    <row r="225" ht="12.75" customHeight="1">
      <c r="A225" s="65"/>
      <c r="B225" s="66" t="s">
        <v>460</v>
      </c>
      <c r="C225" s="67">
        <v>79011.0</v>
      </c>
      <c r="D225" s="68">
        <v>13.0</v>
      </c>
      <c r="E225" s="67">
        <v>64769.15</v>
      </c>
      <c r="F225" s="68" t="s">
        <v>56</v>
      </c>
      <c r="G225" s="69">
        <v>44159.0</v>
      </c>
      <c r="H225" s="71" t="s">
        <v>57</v>
      </c>
      <c r="I225" s="69">
        <v>44680.0</v>
      </c>
      <c r="J225" s="71">
        <f t="shared" si="85"/>
        <v>17.36666667</v>
      </c>
      <c r="K225" s="72" t="s">
        <v>461</v>
      </c>
      <c r="L225" s="72">
        <v>110000.0</v>
      </c>
      <c r="M225" s="73">
        <v>3778.49</v>
      </c>
      <c r="N225" s="73">
        <v>14460.29</v>
      </c>
      <c r="O225" s="73">
        <v>4907.4</v>
      </c>
      <c r="P225" s="73">
        <f t="shared" si="70"/>
        <v>0</v>
      </c>
      <c r="Q225" s="73">
        <f t="shared" si="71"/>
        <v>0</v>
      </c>
      <c r="R225" s="74">
        <f t="shared" si="72"/>
        <v>0</v>
      </c>
      <c r="S225" s="74">
        <f t="shared" si="73"/>
        <v>1</v>
      </c>
      <c r="T225" s="75"/>
      <c r="V225" s="76">
        <v>272.25</v>
      </c>
      <c r="W225" s="77"/>
      <c r="X225" s="77">
        <v>19.06</v>
      </c>
      <c r="Y225" s="77">
        <v>494.56</v>
      </c>
      <c r="Z225" s="77">
        <f>802.89+399.3</f>
        <v>1202.19</v>
      </c>
      <c r="AA225" s="77">
        <f>8066.17+3461.9</f>
        <v>11528.07</v>
      </c>
      <c r="AB225" s="78">
        <f t="shared" si="38"/>
        <v>13516.13</v>
      </c>
      <c r="AC225" s="77">
        <v>46825.47</v>
      </c>
      <c r="AD225" s="79">
        <v>0.0625</v>
      </c>
      <c r="AE225" s="80">
        <f>((AC225*AD225)/365)*180</f>
        <v>1443.250788</v>
      </c>
      <c r="AF225" s="81">
        <v>17943.68</v>
      </c>
      <c r="AG225" s="79">
        <v>0.07</v>
      </c>
      <c r="AH225" s="80">
        <f>((AF225*AG225)/365)*180</f>
        <v>619.4256658</v>
      </c>
      <c r="AI225" s="82">
        <f>AC225+AF225</f>
        <v>64769.15</v>
      </c>
      <c r="AJ225" s="82">
        <f t="shared" si="7"/>
        <v>2062.676453</v>
      </c>
      <c r="AK225" s="83">
        <f t="shared" si="41"/>
        <v>2062.676453</v>
      </c>
      <c r="AL225" s="84">
        <f t="shared" si="42"/>
        <v>3778.486453</v>
      </c>
      <c r="AP225" s="85">
        <f t="shared" si="9"/>
        <v>1</v>
      </c>
      <c r="AQ225" s="20">
        <f t="shared" si="10"/>
        <v>1</v>
      </c>
      <c r="AR225" s="20">
        <f t="shared" si="11"/>
        <v>1</v>
      </c>
      <c r="AS225" s="86">
        <f t="shared" si="12"/>
        <v>19367.69</v>
      </c>
      <c r="AT225" s="87">
        <f t="shared" si="13"/>
        <v>64769.15</v>
      </c>
      <c r="AU225" s="88">
        <f t="shared" si="81"/>
        <v>17.36666667</v>
      </c>
      <c r="AV225" s="89" t="str">
        <f t="shared" si="15"/>
        <v>#VALUE!</v>
      </c>
      <c r="AW225" s="90" t="str">
        <f t="shared" si="16"/>
        <v>#VALUE!</v>
      </c>
      <c r="AY225" s="85">
        <f t="shared" si="17"/>
        <v>0</v>
      </c>
      <c r="AZ225" s="20">
        <f t="shared" si="18"/>
        <v>1</v>
      </c>
      <c r="BA225" s="20">
        <f t="shared" si="19"/>
        <v>0</v>
      </c>
      <c r="BB225" s="91">
        <f t="shared" si="20"/>
        <v>0</v>
      </c>
      <c r="BC225" s="87">
        <f t="shared" si="21"/>
        <v>0</v>
      </c>
      <c r="BD225" s="92">
        <f t="shared" si="22"/>
        <v>0</v>
      </c>
      <c r="BE225" s="89" t="str">
        <f t="shared" si="23"/>
        <v>#VALUE!</v>
      </c>
      <c r="BF225" s="90">
        <f t="shared" si="24"/>
        <v>0</v>
      </c>
      <c r="BH225" s="93">
        <f t="shared" si="25"/>
        <v>64769.15</v>
      </c>
      <c r="BI225" s="94">
        <f t="shared" si="26"/>
        <v>1</v>
      </c>
      <c r="BJ225" s="95" t="str">
        <f t="shared" si="27"/>
        <v>#VALUE!</v>
      </c>
      <c r="BK225" s="96" t="str">
        <f t="shared" si="28"/>
        <v>#VALUE!</v>
      </c>
      <c r="BM225" s="97">
        <f t="shared" si="29"/>
        <v>1</v>
      </c>
    </row>
    <row r="226" ht="12.75" customHeight="1">
      <c r="A226" s="65"/>
      <c r="B226" s="66" t="s">
        <v>462</v>
      </c>
      <c r="C226" s="67">
        <v>30350.0</v>
      </c>
      <c r="D226" s="68">
        <v>11.0</v>
      </c>
      <c r="E226" s="67">
        <v>26220.42</v>
      </c>
      <c r="F226" s="68" t="s">
        <v>56</v>
      </c>
      <c r="G226" s="69">
        <v>44172.0</v>
      </c>
      <c r="H226" s="71" t="s">
        <v>57</v>
      </c>
      <c r="I226" s="69">
        <v>44406.0</v>
      </c>
      <c r="J226" s="71">
        <f t="shared" si="85"/>
        <v>7.8</v>
      </c>
      <c r="K226" s="72" t="s">
        <v>463</v>
      </c>
      <c r="L226" s="72">
        <v>48500.0</v>
      </c>
      <c r="M226" s="73">
        <v>287.11</v>
      </c>
      <c r="N226" s="73">
        <v>4669.3</v>
      </c>
      <c r="O226" s="73">
        <v>0.0</v>
      </c>
      <c r="P226" s="73">
        <f t="shared" si="70"/>
        <v>0</v>
      </c>
      <c r="Q226" s="73">
        <f t="shared" si="71"/>
        <v>0</v>
      </c>
      <c r="R226" s="74">
        <f t="shared" si="72"/>
        <v>0</v>
      </c>
      <c r="S226" s="74">
        <f t="shared" si="73"/>
        <v>1</v>
      </c>
      <c r="T226" s="75"/>
      <c r="V226" s="76">
        <v>249.69</v>
      </c>
      <c r="W226" s="77"/>
      <c r="X226" s="77">
        <v>17.48</v>
      </c>
      <c r="Y226" s="77"/>
      <c r="Z226" s="77">
        <f>93.03+66.99+77.28</f>
        <v>237.3</v>
      </c>
      <c r="AA226" s="77">
        <v>115.48</v>
      </c>
      <c r="AB226" s="78">
        <f t="shared" si="38"/>
        <v>619.95</v>
      </c>
      <c r="AC226" s="77"/>
      <c r="AD226" s="79">
        <v>0.0025</v>
      </c>
      <c r="AE226" s="80">
        <f t="shared" ref="AE226:AE231" si="88">((E226*AD226)/365)*180</f>
        <v>32.32654521</v>
      </c>
      <c r="AF226" s="81"/>
      <c r="AG226" s="79"/>
      <c r="AH226" s="80">
        <f t="shared" ref="AH226:AH231" si="89">((E226*AG226)/365)*180</f>
        <v>0</v>
      </c>
      <c r="AI226" s="82"/>
      <c r="AJ226" s="82">
        <f t="shared" si="7"/>
        <v>32.32654521</v>
      </c>
      <c r="AK226" s="83">
        <f t="shared" si="41"/>
        <v>32.32654521</v>
      </c>
      <c r="AL226" s="84">
        <f t="shared" si="42"/>
        <v>287.1065452</v>
      </c>
      <c r="AP226" s="85">
        <f t="shared" si="9"/>
        <v>1</v>
      </c>
      <c r="AQ226" s="20">
        <f t="shared" si="10"/>
        <v>1</v>
      </c>
      <c r="AR226" s="20">
        <f t="shared" si="11"/>
        <v>1</v>
      </c>
      <c r="AS226" s="86">
        <f t="shared" si="12"/>
        <v>4669.3</v>
      </c>
      <c r="AT226" s="87">
        <f t="shared" si="13"/>
        <v>26220.42</v>
      </c>
      <c r="AU226" s="88">
        <f t="shared" si="81"/>
        <v>7.8</v>
      </c>
      <c r="AV226" s="89" t="str">
        <f t="shared" si="15"/>
        <v>#VALUE!</v>
      </c>
      <c r="AW226" s="90" t="str">
        <f t="shared" si="16"/>
        <v>#VALUE!</v>
      </c>
      <c r="AY226" s="85">
        <f t="shared" si="17"/>
        <v>0</v>
      </c>
      <c r="AZ226" s="20">
        <f t="shared" si="18"/>
        <v>1</v>
      </c>
      <c r="BA226" s="20">
        <f t="shared" si="19"/>
        <v>0</v>
      </c>
      <c r="BB226" s="91">
        <f t="shared" si="20"/>
        <v>0</v>
      </c>
      <c r="BC226" s="87">
        <f t="shared" si="21"/>
        <v>0</v>
      </c>
      <c r="BD226" s="92">
        <f t="shared" si="22"/>
        <v>0</v>
      </c>
      <c r="BE226" s="89" t="str">
        <f t="shared" si="23"/>
        <v>#VALUE!</v>
      </c>
      <c r="BF226" s="90">
        <f t="shared" si="24"/>
        <v>0</v>
      </c>
      <c r="BH226" s="93">
        <f t="shared" si="25"/>
        <v>26220.42</v>
      </c>
      <c r="BI226" s="94">
        <f t="shared" si="26"/>
        <v>1</v>
      </c>
      <c r="BJ226" s="95" t="str">
        <f t="shared" si="27"/>
        <v>#VALUE!</v>
      </c>
      <c r="BK226" s="96" t="str">
        <f t="shared" si="28"/>
        <v>#VALUE!</v>
      </c>
      <c r="BM226" s="97">
        <f t="shared" si="29"/>
        <v>1</v>
      </c>
    </row>
    <row r="227" ht="12.75" customHeight="1">
      <c r="A227" s="65"/>
      <c r="B227" s="66" t="s">
        <v>464</v>
      </c>
      <c r="C227" s="67">
        <v>43560.0</v>
      </c>
      <c r="D227" s="68">
        <v>13.0</v>
      </c>
      <c r="E227" s="67">
        <v>40347.67</v>
      </c>
      <c r="F227" s="68" t="s">
        <v>56</v>
      </c>
      <c r="G227" s="69">
        <v>44172.0</v>
      </c>
      <c r="H227" s="71" t="s">
        <v>57</v>
      </c>
      <c r="I227" s="69">
        <v>44834.0</v>
      </c>
      <c r="J227" s="71">
        <f t="shared" si="85"/>
        <v>22.06666667</v>
      </c>
      <c r="K227" s="72" t="s">
        <v>465</v>
      </c>
      <c r="L227" s="72">
        <v>54500.0</v>
      </c>
      <c r="M227" s="73">
        <v>587.98</v>
      </c>
      <c r="N227" s="73">
        <v>6448.6</v>
      </c>
      <c r="O227" s="73">
        <v>2084.33</v>
      </c>
      <c r="P227" s="73">
        <f t="shared" si="70"/>
        <v>0</v>
      </c>
      <c r="Q227" s="73">
        <f t="shared" si="71"/>
        <v>0</v>
      </c>
      <c r="R227" s="74">
        <f t="shared" si="72"/>
        <v>0</v>
      </c>
      <c r="S227" s="74">
        <f t="shared" si="73"/>
        <v>1</v>
      </c>
      <c r="T227" s="75"/>
      <c r="V227" s="76">
        <v>155.55</v>
      </c>
      <c r="W227" s="77"/>
      <c r="X227" s="77">
        <v>10.89</v>
      </c>
      <c r="Y227" s="77"/>
      <c r="Z227" s="77">
        <f>78.54+85.51+114.58</f>
        <v>278.63</v>
      </c>
      <c r="AA227" s="77">
        <v>1295.85</v>
      </c>
      <c r="AB227" s="78">
        <f t="shared" si="38"/>
        <v>1740.92</v>
      </c>
      <c r="AC227" s="77"/>
      <c r="AD227" s="79">
        <v>0.015</v>
      </c>
      <c r="AE227" s="80">
        <f t="shared" si="88"/>
        <v>298.4622164</v>
      </c>
      <c r="AF227" s="81"/>
      <c r="AG227" s="79"/>
      <c r="AH227" s="80">
        <f t="shared" si="89"/>
        <v>0</v>
      </c>
      <c r="AI227" s="82"/>
      <c r="AJ227" s="82">
        <f t="shared" si="7"/>
        <v>298.4622164</v>
      </c>
      <c r="AK227" s="83">
        <f t="shared" si="41"/>
        <v>298.4622164</v>
      </c>
      <c r="AL227" s="84">
        <f t="shared" si="42"/>
        <v>587.9822164</v>
      </c>
      <c r="AP227" s="85">
        <f t="shared" si="9"/>
        <v>1</v>
      </c>
      <c r="AQ227" s="20">
        <f t="shared" si="10"/>
        <v>1</v>
      </c>
      <c r="AR227" s="20">
        <f t="shared" si="11"/>
        <v>1</v>
      </c>
      <c r="AS227" s="86">
        <f t="shared" si="12"/>
        <v>8532.93</v>
      </c>
      <c r="AT227" s="87">
        <f t="shared" si="13"/>
        <v>40347.67</v>
      </c>
      <c r="AU227" s="88">
        <f t="shared" si="81"/>
        <v>22.06666667</v>
      </c>
      <c r="AV227" s="89" t="str">
        <f t="shared" si="15"/>
        <v>#VALUE!</v>
      </c>
      <c r="AW227" s="90" t="str">
        <f t="shared" si="16"/>
        <v>#VALUE!</v>
      </c>
      <c r="AY227" s="85">
        <f t="shared" si="17"/>
        <v>0</v>
      </c>
      <c r="AZ227" s="20">
        <f t="shared" si="18"/>
        <v>1</v>
      </c>
      <c r="BA227" s="20">
        <f t="shared" si="19"/>
        <v>0</v>
      </c>
      <c r="BB227" s="91">
        <f t="shared" si="20"/>
        <v>0</v>
      </c>
      <c r="BC227" s="87">
        <f t="shared" si="21"/>
        <v>0</v>
      </c>
      <c r="BD227" s="92">
        <f t="shared" si="22"/>
        <v>0</v>
      </c>
      <c r="BE227" s="89" t="str">
        <f t="shared" si="23"/>
        <v>#VALUE!</v>
      </c>
      <c r="BF227" s="90">
        <f t="shared" si="24"/>
        <v>0</v>
      </c>
      <c r="BH227" s="93">
        <f t="shared" si="25"/>
        <v>40347.67</v>
      </c>
      <c r="BI227" s="94">
        <f t="shared" si="26"/>
        <v>1</v>
      </c>
      <c r="BJ227" s="95" t="str">
        <f t="shared" si="27"/>
        <v>#VALUE!</v>
      </c>
      <c r="BK227" s="96" t="str">
        <f t="shared" si="28"/>
        <v>#VALUE!</v>
      </c>
      <c r="BM227" s="97">
        <f t="shared" si="29"/>
        <v>1</v>
      </c>
    </row>
    <row r="228" ht="12.75" customHeight="1">
      <c r="A228" s="65"/>
      <c r="B228" s="66" t="s">
        <v>466</v>
      </c>
      <c r="C228" s="67">
        <v>27720.0</v>
      </c>
      <c r="D228" s="68">
        <v>13.0</v>
      </c>
      <c r="E228" s="67">
        <v>20894.23</v>
      </c>
      <c r="F228" s="68" t="s">
        <v>56</v>
      </c>
      <c r="G228" s="69">
        <v>44195.0</v>
      </c>
      <c r="H228" s="71" t="s">
        <v>57</v>
      </c>
      <c r="I228" s="69">
        <v>44910.0</v>
      </c>
      <c r="J228" s="71">
        <f t="shared" si="85"/>
        <v>23.83333333</v>
      </c>
      <c r="K228" s="72" t="s">
        <v>467</v>
      </c>
      <c r="L228" s="72">
        <v>38675.0</v>
      </c>
      <c r="M228" s="73">
        <v>310.23</v>
      </c>
      <c r="N228" s="73">
        <v>4725.85</v>
      </c>
      <c r="O228" s="73">
        <v>3104.96</v>
      </c>
      <c r="P228" s="73">
        <f t="shared" si="70"/>
        <v>0</v>
      </c>
      <c r="Q228" s="73">
        <f t="shared" si="71"/>
        <v>0</v>
      </c>
      <c r="R228" s="74">
        <f t="shared" si="72"/>
        <v>0</v>
      </c>
      <c r="S228" s="74">
        <f t="shared" si="73"/>
        <v>1</v>
      </c>
      <c r="T228" s="75"/>
      <c r="V228" s="76">
        <v>216.0</v>
      </c>
      <c r="W228" s="77"/>
      <c r="X228" s="77">
        <v>15.12</v>
      </c>
      <c r="Y228" s="77"/>
      <c r="Z228" s="77">
        <f>100.44+86.4+108.27</f>
        <v>295.11</v>
      </c>
      <c r="AA228" s="77">
        <v>0.0</v>
      </c>
      <c r="AB228" s="78">
        <f t="shared" si="38"/>
        <v>526.23</v>
      </c>
      <c r="AC228" s="77"/>
      <c r="AD228" s="79">
        <v>0.0</v>
      </c>
      <c r="AE228" s="80">
        <f t="shared" si="88"/>
        <v>0</v>
      </c>
      <c r="AF228" s="81"/>
      <c r="AG228" s="79"/>
      <c r="AH228" s="80">
        <f t="shared" si="89"/>
        <v>0</v>
      </c>
      <c r="AI228" s="82"/>
      <c r="AJ228" s="82">
        <f t="shared" si="7"/>
        <v>0</v>
      </c>
      <c r="AK228" s="83">
        <f t="shared" si="41"/>
        <v>0</v>
      </c>
      <c r="AL228" s="84">
        <f t="shared" si="42"/>
        <v>310.23</v>
      </c>
      <c r="AP228" s="85">
        <f t="shared" si="9"/>
        <v>1</v>
      </c>
      <c r="AQ228" s="20">
        <f t="shared" si="10"/>
        <v>1</v>
      </c>
      <c r="AR228" s="20">
        <f t="shared" si="11"/>
        <v>1</v>
      </c>
      <c r="AS228" s="86">
        <f t="shared" si="12"/>
        <v>7830.81</v>
      </c>
      <c r="AT228" s="87">
        <f t="shared" si="13"/>
        <v>20894.23</v>
      </c>
      <c r="AU228" s="88">
        <f t="shared" si="81"/>
        <v>23.83333333</v>
      </c>
      <c r="AV228" s="89" t="str">
        <f t="shared" si="15"/>
        <v>#VALUE!</v>
      </c>
      <c r="AW228" s="90" t="str">
        <f t="shared" si="16"/>
        <v>#VALUE!</v>
      </c>
      <c r="AY228" s="85">
        <f t="shared" si="17"/>
        <v>0</v>
      </c>
      <c r="AZ228" s="20">
        <f t="shared" si="18"/>
        <v>1</v>
      </c>
      <c r="BA228" s="20">
        <f t="shared" si="19"/>
        <v>0</v>
      </c>
      <c r="BB228" s="91">
        <f t="shared" si="20"/>
        <v>0</v>
      </c>
      <c r="BC228" s="87">
        <f t="shared" si="21"/>
        <v>0</v>
      </c>
      <c r="BD228" s="92">
        <f t="shared" si="22"/>
        <v>0</v>
      </c>
      <c r="BE228" s="89" t="str">
        <f t="shared" si="23"/>
        <v>#VALUE!</v>
      </c>
      <c r="BF228" s="90">
        <f t="shared" si="24"/>
        <v>0</v>
      </c>
      <c r="BH228" s="93">
        <f t="shared" si="25"/>
        <v>20894.23</v>
      </c>
      <c r="BI228" s="94">
        <f t="shared" si="26"/>
        <v>1</v>
      </c>
      <c r="BJ228" s="95" t="str">
        <f t="shared" si="27"/>
        <v>#VALUE!</v>
      </c>
      <c r="BK228" s="96" t="str">
        <f t="shared" si="28"/>
        <v>#VALUE!</v>
      </c>
      <c r="BM228" s="97">
        <f t="shared" si="29"/>
        <v>1</v>
      </c>
    </row>
    <row r="229" ht="12.75" customHeight="1">
      <c r="A229" s="65"/>
      <c r="B229" s="66" t="s">
        <v>468</v>
      </c>
      <c r="C229" s="67">
        <v>31130.0</v>
      </c>
      <c r="D229" s="68">
        <v>13.0</v>
      </c>
      <c r="E229" s="67">
        <v>30582.26</v>
      </c>
      <c r="F229" s="68" t="s">
        <v>56</v>
      </c>
      <c r="G229" s="69">
        <v>44202.0</v>
      </c>
      <c r="H229" s="71" t="s">
        <v>57</v>
      </c>
      <c r="I229" s="69">
        <v>44552.0</v>
      </c>
      <c r="J229" s="71">
        <f t="shared" si="85"/>
        <v>11.66666667</v>
      </c>
      <c r="K229" s="72" t="s">
        <v>469</v>
      </c>
      <c r="L229" s="72">
        <v>45000.0</v>
      </c>
      <c r="M229" s="73">
        <v>1984.01</v>
      </c>
      <c r="N229" s="73">
        <v>7428.05</v>
      </c>
      <c r="O229" s="73">
        <v>2638.94</v>
      </c>
      <c r="P229" s="73">
        <f t="shared" si="70"/>
        <v>0</v>
      </c>
      <c r="Q229" s="73">
        <f t="shared" si="71"/>
        <v>0</v>
      </c>
      <c r="R229" s="74">
        <f t="shared" si="72"/>
        <v>0</v>
      </c>
      <c r="S229" s="74">
        <f t="shared" si="73"/>
        <v>1</v>
      </c>
      <c r="T229" s="75"/>
      <c r="V229" s="76">
        <v>379.25</v>
      </c>
      <c r="W229" s="77"/>
      <c r="X229" s="77">
        <v>26.55</v>
      </c>
      <c r="Y229" s="77"/>
      <c r="Z229" s="77">
        <f>913.89+153.75</f>
        <v>1067.64</v>
      </c>
      <c r="AA229" s="77">
        <v>6174.35</v>
      </c>
      <c r="AB229" s="78">
        <f t="shared" si="38"/>
        <v>7647.79</v>
      </c>
      <c r="AC229" s="77"/>
      <c r="AD229" s="79">
        <v>0.059</v>
      </c>
      <c r="AE229" s="80">
        <f t="shared" si="88"/>
        <v>889.8180855</v>
      </c>
      <c r="AF229" s="81"/>
      <c r="AG229" s="79"/>
      <c r="AH229" s="80">
        <f t="shared" si="89"/>
        <v>0</v>
      </c>
      <c r="AI229" s="82"/>
      <c r="AJ229" s="82">
        <f t="shared" si="7"/>
        <v>889.8180855</v>
      </c>
      <c r="AK229" s="83">
        <f t="shared" si="41"/>
        <v>889.8180855</v>
      </c>
      <c r="AL229" s="84">
        <f t="shared" si="42"/>
        <v>1984.008085</v>
      </c>
      <c r="AP229" s="85">
        <f t="shared" si="9"/>
        <v>1</v>
      </c>
      <c r="AQ229" s="20">
        <f t="shared" si="10"/>
        <v>1</v>
      </c>
      <c r="AR229" s="20">
        <f t="shared" si="11"/>
        <v>1</v>
      </c>
      <c r="AS229" s="86">
        <f t="shared" si="12"/>
        <v>10066.99</v>
      </c>
      <c r="AT229" s="87">
        <f t="shared" si="13"/>
        <v>30582.26</v>
      </c>
      <c r="AU229" s="88">
        <f t="shared" si="81"/>
        <v>11.66666667</v>
      </c>
      <c r="AV229" s="89" t="str">
        <f t="shared" si="15"/>
        <v>#VALUE!</v>
      </c>
      <c r="AW229" s="90" t="str">
        <f t="shared" si="16"/>
        <v>#VALUE!</v>
      </c>
      <c r="AY229" s="85">
        <f t="shared" si="17"/>
        <v>0</v>
      </c>
      <c r="AZ229" s="20">
        <f t="shared" si="18"/>
        <v>1</v>
      </c>
      <c r="BA229" s="20">
        <f t="shared" si="19"/>
        <v>0</v>
      </c>
      <c r="BB229" s="91">
        <f t="shared" si="20"/>
        <v>0</v>
      </c>
      <c r="BC229" s="87">
        <f t="shared" si="21"/>
        <v>0</v>
      </c>
      <c r="BD229" s="92">
        <f t="shared" si="22"/>
        <v>0</v>
      </c>
      <c r="BE229" s="89" t="str">
        <f t="shared" si="23"/>
        <v>#VALUE!</v>
      </c>
      <c r="BF229" s="90">
        <f t="shared" si="24"/>
        <v>0</v>
      </c>
      <c r="BH229" s="93">
        <f t="shared" si="25"/>
        <v>30582.26</v>
      </c>
      <c r="BI229" s="94">
        <f t="shared" si="26"/>
        <v>1</v>
      </c>
      <c r="BJ229" s="95" t="str">
        <f t="shared" si="27"/>
        <v>#VALUE!</v>
      </c>
      <c r="BK229" s="96" t="str">
        <f t="shared" si="28"/>
        <v>#VALUE!</v>
      </c>
      <c r="BM229" s="97">
        <f t="shared" si="29"/>
        <v>1</v>
      </c>
    </row>
    <row r="230" ht="12.75" customHeight="1">
      <c r="A230" s="65"/>
      <c r="B230" s="66" t="s">
        <v>470</v>
      </c>
      <c r="C230" s="67">
        <v>38510.0</v>
      </c>
      <c r="D230" s="68">
        <v>13.0</v>
      </c>
      <c r="E230" s="67">
        <v>37419.42</v>
      </c>
      <c r="F230" s="68" t="s">
        <v>56</v>
      </c>
      <c r="G230" s="69">
        <v>44327.0</v>
      </c>
      <c r="H230" s="71" t="s">
        <v>57</v>
      </c>
      <c r="I230" s="69">
        <v>44463.0</v>
      </c>
      <c r="J230" s="71">
        <f t="shared" si="85"/>
        <v>4.533333333</v>
      </c>
      <c r="K230" s="72" t="s">
        <v>471</v>
      </c>
      <c r="L230" s="72">
        <v>50000.0</v>
      </c>
      <c r="M230" s="73">
        <v>921.0</v>
      </c>
      <c r="N230" s="73">
        <v>9132.85</v>
      </c>
      <c r="O230" s="73">
        <v>0.0</v>
      </c>
      <c r="P230" s="73">
        <f t="shared" si="70"/>
        <v>0</v>
      </c>
      <c r="Q230" s="73">
        <f t="shared" si="71"/>
        <v>0</v>
      </c>
      <c r="R230" s="74">
        <f t="shared" si="72"/>
        <v>0</v>
      </c>
      <c r="S230" s="74">
        <f t="shared" si="73"/>
        <v>1</v>
      </c>
      <c r="T230" s="75"/>
      <c r="V230" s="76">
        <v>321.09</v>
      </c>
      <c r="W230" s="77"/>
      <c r="X230" s="77">
        <v>22.48</v>
      </c>
      <c r="Y230" s="77"/>
      <c r="Z230" s="77">
        <f>198+253.77+169.95</f>
        <v>621.72</v>
      </c>
      <c r="AA230" s="77">
        <v>1788.23</v>
      </c>
      <c r="AB230" s="78">
        <f t="shared" si="38"/>
        <v>2753.52</v>
      </c>
      <c r="AC230" s="77"/>
      <c r="AD230" s="79">
        <v>0.015</v>
      </c>
      <c r="AE230" s="80">
        <f t="shared" si="88"/>
        <v>276.801189</v>
      </c>
      <c r="AF230" s="81"/>
      <c r="AG230" s="79"/>
      <c r="AH230" s="80">
        <f t="shared" si="89"/>
        <v>0</v>
      </c>
      <c r="AI230" s="82"/>
      <c r="AJ230" s="82">
        <f t="shared" si="7"/>
        <v>276.801189</v>
      </c>
      <c r="AK230" s="83">
        <f t="shared" si="41"/>
        <v>276.801189</v>
      </c>
      <c r="AL230" s="84">
        <f t="shared" si="42"/>
        <v>921.001189</v>
      </c>
      <c r="AP230" s="85">
        <f t="shared" si="9"/>
        <v>1</v>
      </c>
      <c r="AQ230" s="20">
        <f t="shared" si="10"/>
        <v>1</v>
      </c>
      <c r="AR230" s="20">
        <f t="shared" si="11"/>
        <v>1</v>
      </c>
      <c r="AS230" s="86">
        <f t="shared" si="12"/>
        <v>9132.85</v>
      </c>
      <c r="AT230" s="87">
        <f t="shared" si="13"/>
        <v>37419.42</v>
      </c>
      <c r="AU230" s="88">
        <f t="shared" si="81"/>
        <v>4.533333333</v>
      </c>
      <c r="AV230" s="89" t="str">
        <f t="shared" si="15"/>
        <v>#VALUE!</v>
      </c>
      <c r="AW230" s="90" t="str">
        <f t="shared" si="16"/>
        <v>#VALUE!</v>
      </c>
      <c r="AY230" s="85">
        <f t="shared" si="17"/>
        <v>0</v>
      </c>
      <c r="AZ230" s="20">
        <f t="shared" si="18"/>
        <v>1</v>
      </c>
      <c r="BA230" s="20">
        <f t="shared" si="19"/>
        <v>0</v>
      </c>
      <c r="BB230" s="91">
        <f t="shared" si="20"/>
        <v>0</v>
      </c>
      <c r="BC230" s="87">
        <f t="shared" si="21"/>
        <v>0</v>
      </c>
      <c r="BD230" s="92">
        <f t="shared" si="22"/>
        <v>0</v>
      </c>
      <c r="BE230" s="89" t="str">
        <f t="shared" si="23"/>
        <v>#VALUE!</v>
      </c>
      <c r="BF230" s="90">
        <f t="shared" si="24"/>
        <v>0</v>
      </c>
      <c r="BH230" s="93">
        <f t="shared" si="25"/>
        <v>37419.42</v>
      </c>
      <c r="BI230" s="94">
        <f t="shared" si="26"/>
        <v>1</v>
      </c>
      <c r="BJ230" s="95" t="str">
        <f t="shared" si="27"/>
        <v>#VALUE!</v>
      </c>
      <c r="BK230" s="96" t="str">
        <f t="shared" si="28"/>
        <v>#VALUE!</v>
      </c>
      <c r="BM230" s="97">
        <f t="shared" si="29"/>
        <v>1</v>
      </c>
    </row>
    <row r="231" ht="12.75" customHeight="1">
      <c r="A231" s="65"/>
      <c r="B231" s="66" t="s">
        <v>472</v>
      </c>
      <c r="C231" s="67">
        <v>40399.0</v>
      </c>
      <c r="D231" s="68">
        <v>13.0</v>
      </c>
      <c r="E231" s="67">
        <v>39965.31</v>
      </c>
      <c r="F231" s="68" t="s">
        <v>64</v>
      </c>
      <c r="G231" s="69">
        <v>44398.0</v>
      </c>
      <c r="H231" s="71" t="s">
        <v>57</v>
      </c>
      <c r="I231" s="69">
        <v>44631.0</v>
      </c>
      <c r="J231" s="71">
        <f t="shared" si="85"/>
        <v>7.766666667</v>
      </c>
      <c r="K231" s="72" t="s">
        <v>473</v>
      </c>
      <c r="L231" s="72">
        <v>55000.0</v>
      </c>
      <c r="M231" s="73">
        <v>522.82</v>
      </c>
      <c r="N231" s="73">
        <v>12704.27</v>
      </c>
      <c r="O231" s="73">
        <v>2218.89</v>
      </c>
      <c r="P231" s="73">
        <f t="shared" si="70"/>
        <v>0</v>
      </c>
      <c r="Q231" s="73">
        <f t="shared" si="71"/>
        <v>411.29</v>
      </c>
      <c r="R231" s="74">
        <f t="shared" si="72"/>
        <v>0.01029117502</v>
      </c>
      <c r="S231" s="74">
        <f t="shared" si="73"/>
        <v>0.989708825</v>
      </c>
      <c r="T231" s="75"/>
      <c r="V231" s="76">
        <v>506.0</v>
      </c>
      <c r="W231" s="77"/>
      <c r="X231" s="77">
        <v>35.42</v>
      </c>
      <c r="Y231" s="77"/>
      <c r="Z231" s="77">
        <v>241.04</v>
      </c>
      <c r="AA231" s="77">
        <v>1947.62</v>
      </c>
      <c r="AB231" s="78">
        <f t="shared" si="38"/>
        <v>2730.08</v>
      </c>
      <c r="AC231" s="77"/>
      <c r="AD231" s="79">
        <v>0.0125</v>
      </c>
      <c r="AE231" s="80">
        <f t="shared" si="88"/>
        <v>246.3615</v>
      </c>
      <c r="AF231" s="81"/>
      <c r="AG231" s="79"/>
      <c r="AH231" s="80">
        <f t="shared" si="89"/>
        <v>0</v>
      </c>
      <c r="AI231" s="82"/>
      <c r="AJ231" s="82">
        <f t="shared" si="7"/>
        <v>246.3615</v>
      </c>
      <c r="AK231" s="83">
        <f t="shared" si="41"/>
        <v>246.3615</v>
      </c>
      <c r="AL231" s="84">
        <f t="shared" si="42"/>
        <v>522.8215</v>
      </c>
      <c r="AP231" s="85">
        <f t="shared" si="9"/>
        <v>0</v>
      </c>
      <c r="AQ231" s="20">
        <f t="shared" si="10"/>
        <v>1</v>
      </c>
      <c r="AR231" s="20">
        <f t="shared" si="11"/>
        <v>0</v>
      </c>
      <c r="AS231" s="86">
        <f t="shared" si="12"/>
        <v>0</v>
      </c>
      <c r="AT231" s="87">
        <f t="shared" si="13"/>
        <v>0</v>
      </c>
      <c r="AU231" s="88">
        <f t="shared" si="81"/>
        <v>0</v>
      </c>
      <c r="AV231" s="89" t="str">
        <f t="shared" si="15"/>
        <v>#VALUE!</v>
      </c>
      <c r="AW231" s="90">
        <f t="shared" si="16"/>
        <v>0</v>
      </c>
      <c r="AY231" s="85">
        <f t="shared" si="17"/>
        <v>1</v>
      </c>
      <c r="AZ231" s="20">
        <f t="shared" si="18"/>
        <v>1</v>
      </c>
      <c r="BA231" s="20">
        <f t="shared" si="19"/>
        <v>1</v>
      </c>
      <c r="BB231" s="91">
        <f t="shared" si="20"/>
        <v>14923.16</v>
      </c>
      <c r="BC231" s="87">
        <f t="shared" si="21"/>
        <v>39965.31</v>
      </c>
      <c r="BD231" s="92">
        <f t="shared" si="22"/>
        <v>7.766666667</v>
      </c>
      <c r="BE231" s="89" t="str">
        <f t="shared" si="23"/>
        <v>#VALUE!</v>
      </c>
      <c r="BF231" s="90" t="str">
        <f t="shared" si="24"/>
        <v>#VALUE!</v>
      </c>
      <c r="BH231" s="93">
        <f t="shared" si="25"/>
        <v>39965.31</v>
      </c>
      <c r="BI231" s="94">
        <f t="shared" si="26"/>
        <v>1</v>
      </c>
      <c r="BJ231" s="95" t="str">
        <f t="shared" si="27"/>
        <v>#VALUE!</v>
      </c>
      <c r="BK231" s="96" t="str">
        <f t="shared" si="28"/>
        <v>#VALUE!</v>
      </c>
      <c r="BM231" s="97">
        <f t="shared" si="29"/>
        <v>1</v>
      </c>
    </row>
    <row r="232" ht="12.75" customHeight="1">
      <c r="A232" s="65"/>
      <c r="B232" s="66" t="s">
        <v>474</v>
      </c>
      <c r="C232" s="67">
        <v>23424.82</v>
      </c>
      <c r="D232" s="68">
        <v>13.0</v>
      </c>
      <c r="E232" s="67">
        <v>22363.11</v>
      </c>
      <c r="F232" s="68" t="s">
        <v>56</v>
      </c>
      <c r="G232" s="69">
        <v>44407.0</v>
      </c>
      <c r="H232" s="71" t="s">
        <v>57</v>
      </c>
      <c r="I232" s="69">
        <v>44460.0</v>
      </c>
      <c r="J232" s="71">
        <f t="shared" si="85"/>
        <v>1.766666667</v>
      </c>
      <c r="K232" s="72" t="s">
        <v>475</v>
      </c>
      <c r="L232" s="72">
        <v>49500.0</v>
      </c>
      <c r="M232" s="73">
        <v>1992.62</v>
      </c>
      <c r="N232" s="73">
        <v>4392.91</v>
      </c>
      <c r="O232" s="73">
        <v>0.0</v>
      </c>
      <c r="P232" s="73">
        <f t="shared" si="70"/>
        <v>0</v>
      </c>
      <c r="Q232" s="73">
        <f t="shared" si="71"/>
        <v>0</v>
      </c>
      <c r="R232" s="74">
        <f t="shared" si="72"/>
        <v>0</v>
      </c>
      <c r="S232" s="74">
        <f t="shared" si="73"/>
        <v>1</v>
      </c>
      <c r="T232" s="75"/>
      <c r="V232" s="76">
        <v>472.0</v>
      </c>
      <c r="W232" s="77"/>
      <c r="X232" s="77">
        <v>33.04</v>
      </c>
      <c r="Y232" s="77">
        <v>236.06</v>
      </c>
      <c r="Z232" s="77">
        <f>660.8+333.35</f>
        <v>994.15</v>
      </c>
      <c r="AA232" s="77">
        <f>1790.41+5471.95</f>
        <v>7262.36</v>
      </c>
      <c r="AB232" s="78">
        <f t="shared" si="38"/>
        <v>8997.61</v>
      </c>
      <c r="AC232" s="77">
        <v>17281.82</v>
      </c>
      <c r="AD232" s="79">
        <v>0.065</v>
      </c>
      <c r="AE232" s="80">
        <f t="shared" ref="AE232:AE234" si="90">((AC232*AD232)/365)*180</f>
        <v>553.965189</v>
      </c>
      <c r="AF232" s="81">
        <v>5081.29</v>
      </c>
      <c r="AG232" s="79">
        <v>0.07</v>
      </c>
      <c r="AH232" s="80">
        <f t="shared" ref="AH232:AH235" si="91">((AF232*AG232)/365)*180</f>
        <v>175.4089151</v>
      </c>
      <c r="AI232" s="82">
        <f t="shared" ref="AI232:AI235" si="92">AC232+AF232</f>
        <v>22363.11</v>
      </c>
      <c r="AJ232" s="82">
        <f t="shared" si="7"/>
        <v>729.3741041</v>
      </c>
      <c r="AK232" s="83">
        <f t="shared" si="41"/>
        <v>729.3741041</v>
      </c>
      <c r="AL232" s="84">
        <f t="shared" si="42"/>
        <v>1992.624104</v>
      </c>
      <c r="AP232" s="85">
        <f t="shared" si="9"/>
        <v>1</v>
      </c>
      <c r="AQ232" s="20">
        <f t="shared" si="10"/>
        <v>1</v>
      </c>
      <c r="AR232" s="20">
        <f t="shared" si="11"/>
        <v>1</v>
      </c>
      <c r="AS232" s="86">
        <f t="shared" si="12"/>
        <v>4392.91</v>
      </c>
      <c r="AT232" s="87">
        <f t="shared" si="13"/>
        <v>22363.11</v>
      </c>
      <c r="AU232" s="88">
        <f t="shared" si="81"/>
        <v>1.766666667</v>
      </c>
      <c r="AV232" s="89" t="str">
        <f t="shared" si="15"/>
        <v>#VALUE!</v>
      </c>
      <c r="AW232" s="90" t="str">
        <f t="shared" si="16"/>
        <v>#VALUE!</v>
      </c>
      <c r="AY232" s="85">
        <f t="shared" si="17"/>
        <v>0</v>
      </c>
      <c r="AZ232" s="20">
        <f t="shared" si="18"/>
        <v>1</v>
      </c>
      <c r="BA232" s="20">
        <f t="shared" si="19"/>
        <v>0</v>
      </c>
      <c r="BB232" s="91">
        <f t="shared" si="20"/>
        <v>0</v>
      </c>
      <c r="BC232" s="87">
        <f t="shared" si="21"/>
        <v>0</v>
      </c>
      <c r="BD232" s="92">
        <f t="shared" si="22"/>
        <v>0</v>
      </c>
      <c r="BE232" s="89" t="str">
        <f t="shared" si="23"/>
        <v>#VALUE!</v>
      </c>
      <c r="BF232" s="90">
        <f t="shared" si="24"/>
        <v>0</v>
      </c>
      <c r="BH232" s="93">
        <f t="shared" si="25"/>
        <v>22363.11</v>
      </c>
      <c r="BI232" s="94">
        <f t="shared" si="26"/>
        <v>1</v>
      </c>
      <c r="BJ232" s="95" t="str">
        <f t="shared" si="27"/>
        <v>#VALUE!</v>
      </c>
      <c r="BK232" s="96" t="str">
        <f t="shared" si="28"/>
        <v>#VALUE!</v>
      </c>
      <c r="BM232" s="97">
        <f t="shared" si="29"/>
        <v>1</v>
      </c>
    </row>
    <row r="233" ht="12.75" customHeight="1">
      <c r="A233" s="65"/>
      <c r="B233" s="66" t="s">
        <v>476</v>
      </c>
      <c r="C233" s="67">
        <v>35400.0</v>
      </c>
      <c r="D233" s="68">
        <v>13.0</v>
      </c>
      <c r="E233" s="67">
        <v>33482.5</v>
      </c>
      <c r="F233" s="68" t="s">
        <v>56</v>
      </c>
      <c r="G233" s="69">
        <v>44433.0</v>
      </c>
      <c r="H233" s="71" t="s">
        <v>57</v>
      </c>
      <c r="I233" s="69">
        <v>44777.0</v>
      </c>
      <c r="J233" s="71">
        <f t="shared" si="85"/>
        <v>11.46666667</v>
      </c>
      <c r="K233" s="72" t="s">
        <v>477</v>
      </c>
      <c r="L233" s="72">
        <v>36000.0</v>
      </c>
      <c r="M233" s="73">
        <v>486.42</v>
      </c>
      <c r="N233" s="73">
        <v>5948.28</v>
      </c>
      <c r="O233" s="73">
        <v>6324.64</v>
      </c>
      <c r="P233" s="73">
        <f t="shared" si="70"/>
        <v>0</v>
      </c>
      <c r="Q233" s="73">
        <f t="shared" si="71"/>
        <v>10241.84</v>
      </c>
      <c r="R233" s="74">
        <f t="shared" si="72"/>
        <v>0.3058863585</v>
      </c>
      <c r="S233" s="74">
        <f t="shared" si="73"/>
        <v>0.6941136415</v>
      </c>
      <c r="T233" s="75"/>
      <c r="V233" s="76">
        <v>305.25</v>
      </c>
      <c r="W233" s="77"/>
      <c r="X233" s="77">
        <v>21.37</v>
      </c>
      <c r="Y233" s="77"/>
      <c r="Z233" s="77">
        <f>138.35+159.39+167.31</f>
        <v>465.05</v>
      </c>
      <c r="AA233" s="77"/>
      <c r="AB233" s="78">
        <f t="shared" si="38"/>
        <v>791.67</v>
      </c>
      <c r="AC233" s="77"/>
      <c r="AD233" s="79">
        <v>0.0</v>
      </c>
      <c r="AE233" s="80">
        <f t="shared" si="90"/>
        <v>0</v>
      </c>
      <c r="AF233" s="81"/>
      <c r="AG233" s="79"/>
      <c r="AH233" s="80">
        <f t="shared" si="91"/>
        <v>0</v>
      </c>
      <c r="AI233" s="82">
        <f t="shared" si="92"/>
        <v>0</v>
      </c>
      <c r="AJ233" s="82">
        <f t="shared" si="7"/>
        <v>0</v>
      </c>
      <c r="AK233" s="83" t="str">
        <f t="shared" si="41"/>
        <v/>
      </c>
      <c r="AL233" s="84">
        <f t="shared" si="42"/>
        <v>486.42</v>
      </c>
      <c r="AP233" s="85">
        <f t="shared" si="9"/>
        <v>1</v>
      </c>
      <c r="AQ233" s="20">
        <f t="shared" si="10"/>
        <v>1</v>
      </c>
      <c r="AR233" s="20">
        <f t="shared" si="11"/>
        <v>1</v>
      </c>
      <c r="AS233" s="86">
        <f t="shared" si="12"/>
        <v>12272.92</v>
      </c>
      <c r="AT233" s="87">
        <f t="shared" si="13"/>
        <v>33482.5</v>
      </c>
      <c r="AU233" s="88">
        <f t="shared" si="81"/>
        <v>11.46666667</v>
      </c>
      <c r="AV233" s="89" t="str">
        <f t="shared" si="15"/>
        <v>#VALUE!</v>
      </c>
      <c r="AW233" s="90" t="str">
        <f t="shared" si="16"/>
        <v>#VALUE!</v>
      </c>
      <c r="AY233" s="85">
        <f t="shared" si="17"/>
        <v>0</v>
      </c>
      <c r="AZ233" s="20">
        <f t="shared" si="18"/>
        <v>1</v>
      </c>
      <c r="BA233" s="20">
        <f t="shared" si="19"/>
        <v>0</v>
      </c>
      <c r="BB233" s="91">
        <f t="shared" si="20"/>
        <v>0</v>
      </c>
      <c r="BC233" s="87">
        <f t="shared" si="21"/>
        <v>0</v>
      </c>
      <c r="BD233" s="92">
        <f t="shared" si="22"/>
        <v>0</v>
      </c>
      <c r="BE233" s="89" t="str">
        <f t="shared" si="23"/>
        <v>#VALUE!</v>
      </c>
      <c r="BF233" s="90">
        <f t="shared" si="24"/>
        <v>0</v>
      </c>
      <c r="BH233" s="93">
        <f t="shared" si="25"/>
        <v>33482.5</v>
      </c>
      <c r="BI233" s="94">
        <f t="shared" si="26"/>
        <v>1</v>
      </c>
      <c r="BJ233" s="95" t="str">
        <f t="shared" si="27"/>
        <v>#VALUE!</v>
      </c>
      <c r="BK233" s="96" t="str">
        <f t="shared" si="28"/>
        <v>#VALUE!</v>
      </c>
      <c r="BM233" s="97">
        <f t="shared" si="29"/>
        <v>1</v>
      </c>
    </row>
    <row r="234" ht="12.75" customHeight="1">
      <c r="A234" s="65"/>
      <c r="B234" s="66" t="s">
        <v>478</v>
      </c>
      <c r="C234" s="67">
        <v>37751.59</v>
      </c>
      <c r="D234" s="68">
        <v>13.0</v>
      </c>
      <c r="E234" s="67">
        <v>32997.29</v>
      </c>
      <c r="F234" s="68" t="s">
        <v>56</v>
      </c>
      <c r="G234" s="69">
        <v>44463.0</v>
      </c>
      <c r="H234" s="71" t="s">
        <v>57</v>
      </c>
      <c r="I234" s="69">
        <v>44680.0</v>
      </c>
      <c r="J234" s="71">
        <f t="shared" si="85"/>
        <v>7.233333333</v>
      </c>
      <c r="K234" s="72" t="s">
        <v>479</v>
      </c>
      <c r="L234" s="72">
        <v>52000.0</v>
      </c>
      <c r="M234" s="73">
        <v>1990.18</v>
      </c>
      <c r="N234" s="73">
        <v>11272.18</v>
      </c>
      <c r="O234" s="73">
        <v>2518.35</v>
      </c>
      <c r="P234" s="73">
        <f t="shared" si="70"/>
        <v>0</v>
      </c>
      <c r="Q234" s="73">
        <f t="shared" si="71"/>
        <v>0</v>
      </c>
      <c r="R234" s="74">
        <f t="shared" si="72"/>
        <v>0</v>
      </c>
      <c r="S234" s="74">
        <f t="shared" si="73"/>
        <v>1</v>
      </c>
      <c r="T234" s="75"/>
      <c r="V234" s="76">
        <v>372.0</v>
      </c>
      <c r="W234" s="77"/>
      <c r="X234" s="77">
        <v>26.04</v>
      </c>
      <c r="Y234" s="77">
        <v>216.29</v>
      </c>
      <c r="Z234" s="77">
        <f>173.29+209.87+157.79+60.45+48.05</f>
        <v>649.45</v>
      </c>
      <c r="AA234" s="77">
        <f>4870.28+1494.24</f>
        <v>6364.52</v>
      </c>
      <c r="AB234" s="78">
        <f t="shared" si="38"/>
        <v>7628.3</v>
      </c>
      <c r="AC234" s="77">
        <v>24875.21</v>
      </c>
      <c r="AD234" s="79">
        <v>0.0675</v>
      </c>
      <c r="AE234" s="80">
        <f t="shared" si="90"/>
        <v>828.0378123</v>
      </c>
      <c r="AF234" s="81">
        <v>8122.08</v>
      </c>
      <c r="AG234" s="79">
        <v>0.0675</v>
      </c>
      <c r="AH234" s="80">
        <f t="shared" si="91"/>
        <v>270.3651288</v>
      </c>
      <c r="AI234" s="82">
        <f t="shared" si="92"/>
        <v>32997.29</v>
      </c>
      <c r="AJ234" s="82">
        <f t="shared" si="7"/>
        <v>1098.402941</v>
      </c>
      <c r="AK234" s="83">
        <f t="shared" si="41"/>
        <v>1098.402941</v>
      </c>
      <c r="AL234" s="84">
        <f t="shared" si="42"/>
        <v>1990.182941</v>
      </c>
      <c r="AP234" s="85">
        <f t="shared" si="9"/>
        <v>1</v>
      </c>
      <c r="AQ234" s="20">
        <f t="shared" si="10"/>
        <v>1</v>
      </c>
      <c r="AR234" s="20">
        <f t="shared" si="11"/>
        <v>1</v>
      </c>
      <c r="AS234" s="86">
        <f t="shared" si="12"/>
        <v>13790.53</v>
      </c>
      <c r="AT234" s="87">
        <f t="shared" si="13"/>
        <v>32997.29</v>
      </c>
      <c r="AU234" s="88">
        <f t="shared" si="81"/>
        <v>7.233333333</v>
      </c>
      <c r="AV234" s="89" t="str">
        <f t="shared" si="15"/>
        <v>#VALUE!</v>
      </c>
      <c r="AW234" s="90" t="str">
        <f t="shared" si="16"/>
        <v>#VALUE!</v>
      </c>
      <c r="AY234" s="85">
        <f t="shared" si="17"/>
        <v>0</v>
      </c>
      <c r="AZ234" s="20">
        <f t="shared" si="18"/>
        <v>1</v>
      </c>
      <c r="BA234" s="20">
        <f t="shared" si="19"/>
        <v>0</v>
      </c>
      <c r="BB234" s="91">
        <f t="shared" si="20"/>
        <v>0</v>
      </c>
      <c r="BC234" s="87">
        <f t="shared" si="21"/>
        <v>0</v>
      </c>
      <c r="BD234" s="92">
        <f t="shared" si="22"/>
        <v>0</v>
      </c>
      <c r="BE234" s="89" t="str">
        <f t="shared" si="23"/>
        <v>#VALUE!</v>
      </c>
      <c r="BF234" s="90">
        <f t="shared" si="24"/>
        <v>0</v>
      </c>
      <c r="BH234" s="93">
        <f t="shared" si="25"/>
        <v>32997.29</v>
      </c>
      <c r="BI234" s="94">
        <f t="shared" si="26"/>
        <v>1</v>
      </c>
      <c r="BJ234" s="95" t="str">
        <f t="shared" si="27"/>
        <v>#VALUE!</v>
      </c>
      <c r="BK234" s="96" t="str">
        <f t="shared" si="28"/>
        <v>#VALUE!</v>
      </c>
      <c r="BM234" s="97">
        <f t="shared" si="29"/>
        <v>1</v>
      </c>
    </row>
    <row r="235" ht="12.75" customHeight="1">
      <c r="A235" s="65"/>
      <c r="B235" s="66" t="s">
        <v>480</v>
      </c>
      <c r="C235" s="67">
        <v>49495.05</v>
      </c>
      <c r="D235" s="68">
        <v>13.0</v>
      </c>
      <c r="E235" s="67">
        <v>48224.59</v>
      </c>
      <c r="F235" s="68" t="s">
        <v>56</v>
      </c>
      <c r="G235" s="69">
        <v>44463.0</v>
      </c>
      <c r="H235" s="71" t="s">
        <v>57</v>
      </c>
      <c r="I235" s="69">
        <v>44771.0</v>
      </c>
      <c r="J235" s="71">
        <f t="shared" si="85"/>
        <v>10.26666667</v>
      </c>
      <c r="K235" s="72" t="s">
        <v>481</v>
      </c>
      <c r="L235" s="72">
        <v>45000.0</v>
      </c>
      <c r="M235" s="73">
        <v>929.25</v>
      </c>
      <c r="N235" s="73">
        <v>12158.04</v>
      </c>
      <c r="O235" s="73">
        <v>1976.91</v>
      </c>
      <c r="P235" s="73">
        <f t="shared" si="70"/>
        <v>3224.59</v>
      </c>
      <c r="Q235" s="73">
        <f t="shared" si="71"/>
        <v>18288.79</v>
      </c>
      <c r="R235" s="74">
        <f t="shared" si="72"/>
        <v>0.3792420008</v>
      </c>
      <c r="S235" s="74">
        <f t="shared" si="73"/>
        <v>0.6207579992</v>
      </c>
      <c r="T235" s="75"/>
      <c r="V235" s="76">
        <v>314.5</v>
      </c>
      <c r="W235" s="77"/>
      <c r="X235" s="77">
        <v>22.02</v>
      </c>
      <c r="Y235" s="77"/>
      <c r="Z235" s="77">
        <f>178.5+176.8+254.66</f>
        <v>609.96</v>
      </c>
      <c r="AA235" s="77">
        <v>1748.97</v>
      </c>
      <c r="AB235" s="78">
        <f t="shared" si="38"/>
        <v>2695.45</v>
      </c>
      <c r="AC235" s="77"/>
      <c r="AD235" s="79">
        <v>0.0125</v>
      </c>
      <c r="AE235" s="80">
        <f t="shared" ref="AE235:AE243" si="93">((E235*AD235)/365)*180</f>
        <v>297.2748699</v>
      </c>
      <c r="AF235" s="81"/>
      <c r="AG235" s="79"/>
      <c r="AH235" s="80">
        <f t="shared" si="91"/>
        <v>0</v>
      </c>
      <c r="AI235" s="82">
        <f t="shared" si="92"/>
        <v>0</v>
      </c>
      <c r="AJ235" s="82">
        <f t="shared" si="7"/>
        <v>297.2748699</v>
      </c>
      <c r="AK235" s="83">
        <f t="shared" si="41"/>
        <v>297.2748699</v>
      </c>
      <c r="AL235" s="84">
        <f t="shared" si="42"/>
        <v>929.2548699</v>
      </c>
      <c r="AP235" s="85">
        <f t="shared" si="9"/>
        <v>1</v>
      </c>
      <c r="AQ235" s="20">
        <f t="shared" si="10"/>
        <v>1</v>
      </c>
      <c r="AR235" s="20">
        <f t="shared" si="11"/>
        <v>1</v>
      </c>
      <c r="AS235" s="86">
        <f t="shared" si="12"/>
        <v>14134.95</v>
      </c>
      <c r="AT235" s="87">
        <f t="shared" si="13"/>
        <v>48224.59</v>
      </c>
      <c r="AU235" s="88">
        <f t="shared" si="81"/>
        <v>10.26666667</v>
      </c>
      <c r="AV235" s="89" t="str">
        <f t="shared" si="15"/>
        <v>#VALUE!</v>
      </c>
      <c r="AW235" s="90" t="str">
        <f t="shared" si="16"/>
        <v>#VALUE!</v>
      </c>
      <c r="AY235" s="85">
        <f t="shared" si="17"/>
        <v>0</v>
      </c>
      <c r="AZ235" s="20">
        <f t="shared" si="18"/>
        <v>1</v>
      </c>
      <c r="BA235" s="20">
        <f t="shared" si="19"/>
        <v>0</v>
      </c>
      <c r="BB235" s="91">
        <f t="shared" si="20"/>
        <v>0</v>
      </c>
      <c r="BC235" s="87">
        <f t="shared" si="21"/>
        <v>0</v>
      </c>
      <c r="BD235" s="92">
        <f t="shared" si="22"/>
        <v>0</v>
      </c>
      <c r="BE235" s="89" t="str">
        <f t="shared" si="23"/>
        <v>#VALUE!</v>
      </c>
      <c r="BF235" s="90">
        <f t="shared" si="24"/>
        <v>0</v>
      </c>
      <c r="BH235" s="93">
        <f t="shared" si="25"/>
        <v>48224.59</v>
      </c>
      <c r="BI235" s="94">
        <f t="shared" si="26"/>
        <v>1</v>
      </c>
      <c r="BJ235" s="95" t="str">
        <f t="shared" si="27"/>
        <v>#VALUE!</v>
      </c>
      <c r="BK235" s="96" t="str">
        <f t="shared" si="28"/>
        <v>#VALUE!</v>
      </c>
      <c r="BM235" s="97">
        <f t="shared" si="29"/>
        <v>1</v>
      </c>
    </row>
    <row r="236" ht="12.75" customHeight="1">
      <c r="A236" s="65"/>
      <c r="B236" s="66" t="s">
        <v>482</v>
      </c>
      <c r="C236" s="67">
        <v>61875.0</v>
      </c>
      <c r="D236" s="68">
        <v>13.0</v>
      </c>
      <c r="E236" s="67">
        <v>50294.41</v>
      </c>
      <c r="F236" s="99" t="s">
        <v>56</v>
      </c>
      <c r="G236" s="69">
        <v>44469.0</v>
      </c>
      <c r="H236" s="70" t="s">
        <v>57</v>
      </c>
      <c r="I236" s="100">
        <v>45656.0</v>
      </c>
      <c r="J236" s="71">
        <f t="shared" si="85"/>
        <v>39.56666667</v>
      </c>
      <c r="K236" s="98" t="s">
        <v>483</v>
      </c>
      <c r="L236" s="98">
        <v>52000.0</v>
      </c>
      <c r="M236" s="101">
        <v>4266.8</v>
      </c>
      <c r="N236" s="73">
        <v>9493.080000000002</v>
      </c>
      <c r="O236" s="101">
        <v>3538.91</v>
      </c>
      <c r="P236" s="73">
        <f t="shared" si="70"/>
        <v>0</v>
      </c>
      <c r="Q236" s="73">
        <f t="shared" si="71"/>
        <v>15593.2</v>
      </c>
      <c r="R236" s="74">
        <f t="shared" si="72"/>
        <v>0.3100384317</v>
      </c>
      <c r="S236" s="74">
        <f t="shared" si="73"/>
        <v>0.6899615683</v>
      </c>
      <c r="T236" s="75"/>
      <c r="V236" s="102">
        <v>741.75</v>
      </c>
      <c r="W236" s="103">
        <v>293.35</v>
      </c>
      <c r="X236" s="103">
        <v>72.45</v>
      </c>
      <c r="Y236" s="77"/>
      <c r="Z236" s="77">
        <f>573.39+1777.44</f>
        <v>2350.83</v>
      </c>
      <c r="AA236" s="103">
        <v>16594.5</v>
      </c>
      <c r="AB236" s="78">
        <f t="shared" si="38"/>
        <v>20052.88</v>
      </c>
      <c r="AC236" s="103">
        <v>50294.41</v>
      </c>
      <c r="AD236" s="104">
        <v>0.0625</v>
      </c>
      <c r="AE236" s="80">
        <f t="shared" si="93"/>
        <v>1550.170171</v>
      </c>
      <c r="AF236" s="81"/>
      <c r="AG236" s="79"/>
      <c r="AH236" s="80">
        <f t="shared" ref="AH236:AH243" si="94">((E236*AG236)/365)*180</f>
        <v>0</v>
      </c>
      <c r="AI236" s="82"/>
      <c r="AJ236" s="82">
        <f t="shared" si="7"/>
        <v>1550.170171</v>
      </c>
      <c r="AK236" s="83">
        <f t="shared" si="41"/>
        <v>1550.170171</v>
      </c>
      <c r="AL236" s="84">
        <f t="shared" si="42"/>
        <v>4266.800171</v>
      </c>
      <c r="AP236" s="85">
        <f t="shared" si="9"/>
        <v>1</v>
      </c>
      <c r="AQ236" s="20">
        <f t="shared" si="10"/>
        <v>1</v>
      </c>
      <c r="AR236" s="20">
        <f t="shared" si="11"/>
        <v>1</v>
      </c>
      <c r="AS236" s="86">
        <f t="shared" si="12"/>
        <v>13031.99</v>
      </c>
      <c r="AT236" s="87">
        <f t="shared" si="13"/>
        <v>50294.41</v>
      </c>
      <c r="AU236" s="88">
        <f t="shared" si="81"/>
        <v>39.56666667</v>
      </c>
      <c r="AV236" s="89" t="str">
        <f t="shared" si="15"/>
        <v>#VALUE!</v>
      </c>
      <c r="AW236" s="90" t="str">
        <f t="shared" si="16"/>
        <v>#VALUE!</v>
      </c>
      <c r="AY236" s="85">
        <f t="shared" si="17"/>
        <v>0</v>
      </c>
      <c r="AZ236" s="20">
        <f t="shared" si="18"/>
        <v>1</v>
      </c>
      <c r="BA236" s="20">
        <f t="shared" si="19"/>
        <v>0</v>
      </c>
      <c r="BB236" s="91">
        <f t="shared" si="20"/>
        <v>0</v>
      </c>
      <c r="BC236" s="87">
        <f t="shared" si="21"/>
        <v>0</v>
      </c>
      <c r="BD236" s="92">
        <f t="shared" si="22"/>
        <v>0</v>
      </c>
      <c r="BE236" s="89" t="str">
        <f t="shared" si="23"/>
        <v>#VALUE!</v>
      </c>
      <c r="BF236" s="90">
        <f t="shared" si="24"/>
        <v>0</v>
      </c>
      <c r="BH236" s="93">
        <f t="shared" si="25"/>
        <v>50294.41</v>
      </c>
      <c r="BI236" s="94">
        <f t="shared" si="26"/>
        <v>1</v>
      </c>
      <c r="BJ236" s="95" t="str">
        <f t="shared" si="27"/>
        <v>#VALUE!</v>
      </c>
      <c r="BK236" s="96" t="str">
        <f t="shared" si="28"/>
        <v>#VALUE!</v>
      </c>
      <c r="BM236" s="97">
        <f t="shared" si="29"/>
        <v>1</v>
      </c>
    </row>
    <row r="237" ht="12.75" customHeight="1">
      <c r="A237" s="65"/>
      <c r="B237" s="66" t="s">
        <v>484</v>
      </c>
      <c r="C237" s="67">
        <v>39600.0</v>
      </c>
      <c r="D237" s="68">
        <v>13.0</v>
      </c>
      <c r="E237" s="67">
        <v>38337.55</v>
      </c>
      <c r="F237" s="68" t="s">
        <v>64</v>
      </c>
      <c r="G237" s="69">
        <v>44469.0</v>
      </c>
      <c r="H237" s="71" t="s">
        <v>57</v>
      </c>
      <c r="I237" s="69">
        <v>44526.0</v>
      </c>
      <c r="J237" s="71">
        <f t="shared" si="85"/>
        <v>1.9</v>
      </c>
      <c r="K237" s="98" t="s">
        <v>485</v>
      </c>
      <c r="L237" s="72">
        <v>45000.0</v>
      </c>
      <c r="M237" s="73">
        <v>1137.46</v>
      </c>
      <c r="N237" s="73">
        <v>5069.87</v>
      </c>
      <c r="O237" s="73">
        <v>2125.83</v>
      </c>
      <c r="P237" s="73">
        <f t="shared" si="70"/>
        <v>0</v>
      </c>
      <c r="Q237" s="73">
        <f t="shared" si="71"/>
        <v>1670.71</v>
      </c>
      <c r="R237" s="74">
        <f t="shared" si="72"/>
        <v>0.04357894545</v>
      </c>
      <c r="S237" s="74">
        <f t="shared" si="73"/>
        <v>0.9564210546</v>
      </c>
      <c r="T237" s="75"/>
      <c r="V237" s="76">
        <v>556.85</v>
      </c>
      <c r="W237" s="77"/>
      <c r="X237" s="77">
        <v>38.98</v>
      </c>
      <c r="Y237" s="77"/>
      <c r="Z237" s="77">
        <f>387.09+344.31+367.08</f>
        <v>1098.48</v>
      </c>
      <c r="AA237" s="77"/>
      <c r="AB237" s="78">
        <f t="shared" si="38"/>
        <v>1694.31</v>
      </c>
      <c r="AC237" s="77"/>
      <c r="AD237" s="79">
        <v>0.0</v>
      </c>
      <c r="AE237" s="80">
        <f t="shared" si="93"/>
        <v>0</v>
      </c>
      <c r="AF237" s="81"/>
      <c r="AG237" s="79"/>
      <c r="AH237" s="80">
        <f t="shared" si="94"/>
        <v>0</v>
      </c>
      <c r="AI237" s="82"/>
      <c r="AJ237" s="82">
        <f t="shared" si="7"/>
        <v>0</v>
      </c>
      <c r="AK237" s="83" t="str">
        <f t="shared" si="41"/>
        <v/>
      </c>
      <c r="AL237" s="84">
        <f t="shared" si="42"/>
        <v>1137.46</v>
      </c>
      <c r="AP237" s="85">
        <f t="shared" si="9"/>
        <v>0</v>
      </c>
      <c r="AQ237" s="20">
        <f t="shared" si="10"/>
        <v>1</v>
      </c>
      <c r="AR237" s="20">
        <f t="shared" si="11"/>
        <v>0</v>
      </c>
      <c r="AS237" s="86">
        <f t="shared" si="12"/>
        <v>0</v>
      </c>
      <c r="AT237" s="87">
        <f t="shared" si="13"/>
        <v>0</v>
      </c>
      <c r="AU237" s="88">
        <f t="shared" si="81"/>
        <v>0</v>
      </c>
      <c r="AV237" s="89" t="str">
        <f t="shared" si="15"/>
        <v>#VALUE!</v>
      </c>
      <c r="AW237" s="90">
        <f t="shared" si="16"/>
        <v>0</v>
      </c>
      <c r="AY237" s="85">
        <f t="shared" si="17"/>
        <v>1</v>
      </c>
      <c r="AZ237" s="20">
        <f t="shared" si="18"/>
        <v>1</v>
      </c>
      <c r="BA237" s="20">
        <f t="shared" si="19"/>
        <v>1</v>
      </c>
      <c r="BB237" s="91">
        <f t="shared" si="20"/>
        <v>7195.7</v>
      </c>
      <c r="BC237" s="87">
        <f t="shared" si="21"/>
        <v>38337.55</v>
      </c>
      <c r="BD237" s="92">
        <f t="shared" si="22"/>
        <v>1.9</v>
      </c>
      <c r="BE237" s="89" t="str">
        <f t="shared" si="23"/>
        <v>#VALUE!</v>
      </c>
      <c r="BF237" s="90" t="str">
        <f t="shared" si="24"/>
        <v>#VALUE!</v>
      </c>
      <c r="BH237" s="93">
        <f t="shared" si="25"/>
        <v>38337.55</v>
      </c>
      <c r="BI237" s="94">
        <f t="shared" si="26"/>
        <v>1</v>
      </c>
      <c r="BJ237" s="95" t="str">
        <f t="shared" si="27"/>
        <v>#VALUE!</v>
      </c>
      <c r="BK237" s="96" t="str">
        <f t="shared" si="28"/>
        <v>#VALUE!</v>
      </c>
      <c r="BM237" s="97">
        <f t="shared" si="29"/>
        <v>1</v>
      </c>
    </row>
    <row r="238" ht="12.75" customHeight="1">
      <c r="A238" s="65"/>
      <c r="B238" s="66" t="s">
        <v>486</v>
      </c>
      <c r="C238" s="67">
        <v>70292.97</v>
      </c>
      <c r="D238" s="68">
        <v>13.0</v>
      </c>
      <c r="E238" s="67">
        <v>67466.6</v>
      </c>
      <c r="F238" s="68" t="s">
        <v>56</v>
      </c>
      <c r="G238" s="69">
        <v>44488.0</v>
      </c>
      <c r="H238" s="71" t="s">
        <v>57</v>
      </c>
      <c r="I238" s="69">
        <v>45106.0</v>
      </c>
      <c r="J238" s="71">
        <f t="shared" si="85"/>
        <v>20.6</v>
      </c>
      <c r="K238" s="72" t="s">
        <v>487</v>
      </c>
      <c r="L238" s="72">
        <v>85000.0</v>
      </c>
      <c r="M238" s="73">
        <v>2505.15</v>
      </c>
      <c r="N238" s="73">
        <v>16166.07</v>
      </c>
      <c r="O238" s="73">
        <v>5505.37</v>
      </c>
      <c r="P238" s="73">
        <f t="shared" si="70"/>
        <v>0</v>
      </c>
      <c r="Q238" s="73">
        <f t="shared" si="71"/>
        <v>6643.19</v>
      </c>
      <c r="R238" s="74">
        <f t="shared" si="72"/>
        <v>0.09846635224</v>
      </c>
      <c r="S238" s="74">
        <f t="shared" si="73"/>
        <v>0.9015336478</v>
      </c>
      <c r="T238" s="75"/>
      <c r="V238" s="76">
        <v>560.0</v>
      </c>
      <c r="W238" s="77"/>
      <c r="X238" s="77">
        <v>39.2</v>
      </c>
      <c r="Y238" s="77"/>
      <c r="Z238" s="77">
        <f>660.8+1222.9</f>
        <v>1883.7</v>
      </c>
      <c r="AA238" s="77">
        <v>6880.21</v>
      </c>
      <c r="AB238" s="78">
        <f t="shared" si="38"/>
        <v>9363.11</v>
      </c>
      <c r="AC238" s="77"/>
      <c r="AD238" s="79">
        <v>0.0175</v>
      </c>
      <c r="AE238" s="80">
        <f t="shared" si="93"/>
        <v>582.246</v>
      </c>
      <c r="AF238" s="81"/>
      <c r="AG238" s="79"/>
      <c r="AH238" s="80">
        <f t="shared" si="94"/>
        <v>0</v>
      </c>
      <c r="AI238" s="82"/>
      <c r="AJ238" s="82">
        <f t="shared" si="7"/>
        <v>582.246</v>
      </c>
      <c r="AK238" s="83">
        <f t="shared" si="41"/>
        <v>582.246</v>
      </c>
      <c r="AL238" s="84">
        <f t="shared" si="42"/>
        <v>2505.146</v>
      </c>
      <c r="AP238" s="85">
        <f t="shared" si="9"/>
        <v>1</v>
      </c>
      <c r="AQ238" s="20">
        <f t="shared" si="10"/>
        <v>1</v>
      </c>
      <c r="AR238" s="20">
        <f t="shared" si="11"/>
        <v>1</v>
      </c>
      <c r="AS238" s="86">
        <f t="shared" si="12"/>
        <v>21671.44</v>
      </c>
      <c r="AT238" s="87">
        <f t="shared" si="13"/>
        <v>67466.6</v>
      </c>
      <c r="AU238" s="88">
        <f t="shared" si="81"/>
        <v>20.6</v>
      </c>
      <c r="AV238" s="89" t="str">
        <f t="shared" si="15"/>
        <v>#VALUE!</v>
      </c>
      <c r="AW238" s="90" t="str">
        <f t="shared" si="16"/>
        <v>#VALUE!</v>
      </c>
      <c r="AY238" s="85">
        <f t="shared" si="17"/>
        <v>0</v>
      </c>
      <c r="AZ238" s="20">
        <f t="shared" si="18"/>
        <v>1</v>
      </c>
      <c r="BA238" s="20">
        <f t="shared" si="19"/>
        <v>0</v>
      </c>
      <c r="BB238" s="91">
        <f t="shared" si="20"/>
        <v>0</v>
      </c>
      <c r="BC238" s="87">
        <f t="shared" si="21"/>
        <v>0</v>
      </c>
      <c r="BD238" s="92">
        <f t="shared" si="22"/>
        <v>0</v>
      </c>
      <c r="BE238" s="89" t="str">
        <f t="shared" si="23"/>
        <v>#VALUE!</v>
      </c>
      <c r="BF238" s="90">
        <f t="shared" si="24"/>
        <v>0</v>
      </c>
      <c r="BH238" s="93">
        <f t="shared" si="25"/>
        <v>67466.6</v>
      </c>
      <c r="BI238" s="94">
        <f t="shared" si="26"/>
        <v>1</v>
      </c>
      <c r="BJ238" s="95" t="str">
        <f t="shared" si="27"/>
        <v>#VALUE!</v>
      </c>
      <c r="BK238" s="96" t="str">
        <f t="shared" si="28"/>
        <v>#VALUE!</v>
      </c>
      <c r="BM238" s="97">
        <f t="shared" si="29"/>
        <v>1</v>
      </c>
    </row>
    <row r="239" ht="12.75" customHeight="1">
      <c r="A239" s="65"/>
      <c r="B239" s="66" t="s">
        <v>488</v>
      </c>
      <c r="C239" s="67">
        <v>40403.04</v>
      </c>
      <c r="D239" s="68">
        <v>13.0</v>
      </c>
      <c r="E239" s="67">
        <v>37953.54</v>
      </c>
      <c r="F239" s="68" t="s">
        <v>56</v>
      </c>
      <c r="G239" s="69">
        <v>44491.0</v>
      </c>
      <c r="H239" s="71" t="s">
        <v>57</v>
      </c>
      <c r="I239" s="69">
        <v>44832.0</v>
      </c>
      <c r="J239" s="71">
        <f t="shared" si="85"/>
        <v>11.36666667</v>
      </c>
      <c r="K239" s="98" t="s">
        <v>489</v>
      </c>
      <c r="L239" s="72">
        <v>52000.0</v>
      </c>
      <c r="M239" s="73">
        <v>768.88</v>
      </c>
      <c r="N239" s="73">
        <v>8066.83</v>
      </c>
      <c r="O239" s="73">
        <v>2490.43</v>
      </c>
      <c r="P239" s="73">
        <f t="shared" si="70"/>
        <v>0</v>
      </c>
      <c r="Q239" s="73">
        <f t="shared" si="71"/>
        <v>0</v>
      </c>
      <c r="R239" s="74">
        <f t="shared" si="72"/>
        <v>0</v>
      </c>
      <c r="S239" s="74">
        <f t="shared" si="73"/>
        <v>1</v>
      </c>
      <c r="T239" s="75"/>
      <c r="V239" s="76">
        <v>277.5</v>
      </c>
      <c r="W239" s="77"/>
      <c r="X239" s="77">
        <v>19.43</v>
      </c>
      <c r="Y239" s="77"/>
      <c r="Z239" s="77">
        <f>26.2+253.5+189</f>
        <v>468.7</v>
      </c>
      <c r="AA239" s="77">
        <v>1715.71</v>
      </c>
      <c r="AB239" s="78">
        <f t="shared" si="38"/>
        <v>2481.34</v>
      </c>
      <c r="AC239" s="77"/>
      <c r="AD239" s="79">
        <v>0.015</v>
      </c>
      <c r="AE239" s="80">
        <f t="shared" si="93"/>
        <v>280.7522137</v>
      </c>
      <c r="AF239" s="81"/>
      <c r="AG239" s="79"/>
      <c r="AH239" s="80">
        <f t="shared" si="94"/>
        <v>0</v>
      </c>
      <c r="AI239" s="82"/>
      <c r="AJ239" s="82">
        <f t="shared" si="7"/>
        <v>280.7522137</v>
      </c>
      <c r="AK239" s="83">
        <f t="shared" si="41"/>
        <v>280.7522137</v>
      </c>
      <c r="AL239" s="84">
        <f t="shared" si="42"/>
        <v>768.8822137</v>
      </c>
      <c r="AP239" s="85">
        <f t="shared" si="9"/>
        <v>1</v>
      </c>
      <c r="AQ239" s="20">
        <f t="shared" si="10"/>
        <v>1</v>
      </c>
      <c r="AR239" s="20">
        <f t="shared" si="11"/>
        <v>1</v>
      </c>
      <c r="AS239" s="86">
        <f t="shared" si="12"/>
        <v>10557.26</v>
      </c>
      <c r="AT239" s="87">
        <f t="shared" si="13"/>
        <v>37953.54</v>
      </c>
      <c r="AU239" s="88">
        <f t="shared" si="81"/>
        <v>11.36666667</v>
      </c>
      <c r="AV239" s="89" t="str">
        <f t="shared" si="15"/>
        <v>#VALUE!</v>
      </c>
      <c r="AW239" s="90" t="str">
        <f t="shared" si="16"/>
        <v>#VALUE!</v>
      </c>
      <c r="AY239" s="85">
        <f t="shared" si="17"/>
        <v>0</v>
      </c>
      <c r="AZ239" s="20">
        <f t="shared" si="18"/>
        <v>1</v>
      </c>
      <c r="BA239" s="20">
        <f t="shared" si="19"/>
        <v>0</v>
      </c>
      <c r="BB239" s="91">
        <f t="shared" si="20"/>
        <v>0</v>
      </c>
      <c r="BC239" s="87">
        <f t="shared" si="21"/>
        <v>0</v>
      </c>
      <c r="BD239" s="92">
        <f t="shared" si="22"/>
        <v>0</v>
      </c>
      <c r="BE239" s="89" t="str">
        <f t="shared" si="23"/>
        <v>#VALUE!</v>
      </c>
      <c r="BF239" s="90">
        <f t="shared" si="24"/>
        <v>0</v>
      </c>
      <c r="BH239" s="93">
        <f t="shared" si="25"/>
        <v>37953.54</v>
      </c>
      <c r="BI239" s="94">
        <f t="shared" si="26"/>
        <v>1</v>
      </c>
      <c r="BJ239" s="95" t="str">
        <f t="shared" si="27"/>
        <v>#VALUE!</v>
      </c>
      <c r="BK239" s="96" t="str">
        <f t="shared" si="28"/>
        <v>#VALUE!</v>
      </c>
      <c r="BM239" s="97">
        <f t="shared" si="29"/>
        <v>1</v>
      </c>
    </row>
    <row r="240" ht="12.75" customHeight="1">
      <c r="A240" s="65"/>
      <c r="B240" s="66" t="s">
        <v>490</v>
      </c>
      <c r="C240" s="67">
        <v>30344.95</v>
      </c>
      <c r="D240" s="68">
        <v>11.0</v>
      </c>
      <c r="E240" s="67">
        <v>26354.33</v>
      </c>
      <c r="F240" s="68" t="s">
        <v>56</v>
      </c>
      <c r="G240" s="69">
        <v>44519.0</v>
      </c>
      <c r="H240" s="71" t="s">
        <v>57</v>
      </c>
      <c r="I240" s="69">
        <v>44719.0</v>
      </c>
      <c r="J240" s="71">
        <f t="shared" si="85"/>
        <v>6.666666667</v>
      </c>
      <c r="K240" s="98" t="s">
        <v>491</v>
      </c>
      <c r="L240" s="72">
        <v>76000.0</v>
      </c>
      <c r="M240" s="73">
        <v>573.93</v>
      </c>
      <c r="N240" s="73">
        <v>6217.57</v>
      </c>
      <c r="O240" s="73">
        <v>0.0</v>
      </c>
      <c r="P240" s="73">
        <f t="shared" si="70"/>
        <v>0</v>
      </c>
      <c r="Q240" s="73">
        <f t="shared" si="71"/>
        <v>0</v>
      </c>
      <c r="R240" s="74">
        <f t="shared" si="72"/>
        <v>0</v>
      </c>
      <c r="S240" s="74">
        <f t="shared" si="73"/>
        <v>1</v>
      </c>
      <c r="T240" s="75"/>
      <c r="V240" s="76">
        <v>288.0</v>
      </c>
      <c r="W240" s="77"/>
      <c r="X240" s="77">
        <v>20.16</v>
      </c>
      <c r="Y240" s="77"/>
      <c r="Z240" s="77">
        <f>167.4+195.12+158.76</f>
        <v>521.28</v>
      </c>
      <c r="AA240" s="77">
        <v>201.99</v>
      </c>
      <c r="AB240" s="78">
        <f t="shared" si="38"/>
        <v>1031.43</v>
      </c>
      <c r="AC240" s="77"/>
      <c r="AD240" s="79">
        <v>0.0025</v>
      </c>
      <c r="AE240" s="80">
        <f t="shared" si="93"/>
        <v>32.49163973</v>
      </c>
      <c r="AF240" s="81"/>
      <c r="AG240" s="79"/>
      <c r="AH240" s="80">
        <f t="shared" si="94"/>
        <v>0</v>
      </c>
      <c r="AI240" s="82"/>
      <c r="AJ240" s="82">
        <f t="shared" si="7"/>
        <v>32.49163973</v>
      </c>
      <c r="AK240" s="83">
        <f t="shared" si="41"/>
        <v>32.49163973</v>
      </c>
      <c r="AL240" s="84">
        <f t="shared" si="42"/>
        <v>573.9316397</v>
      </c>
      <c r="AP240" s="85">
        <f t="shared" si="9"/>
        <v>1</v>
      </c>
      <c r="AQ240" s="20">
        <f t="shared" si="10"/>
        <v>1</v>
      </c>
      <c r="AR240" s="20">
        <f t="shared" si="11"/>
        <v>1</v>
      </c>
      <c r="AS240" s="86">
        <f t="shared" si="12"/>
        <v>6217.57</v>
      </c>
      <c r="AT240" s="87">
        <f t="shared" si="13"/>
        <v>26354.33</v>
      </c>
      <c r="AU240" s="88">
        <f t="shared" si="81"/>
        <v>6.666666667</v>
      </c>
      <c r="AV240" s="89" t="str">
        <f t="shared" si="15"/>
        <v>#VALUE!</v>
      </c>
      <c r="AW240" s="90" t="str">
        <f t="shared" si="16"/>
        <v>#VALUE!</v>
      </c>
      <c r="AY240" s="85">
        <f t="shared" si="17"/>
        <v>0</v>
      </c>
      <c r="AZ240" s="20">
        <f t="shared" si="18"/>
        <v>1</v>
      </c>
      <c r="BA240" s="20">
        <f t="shared" si="19"/>
        <v>0</v>
      </c>
      <c r="BB240" s="91">
        <f t="shared" si="20"/>
        <v>0</v>
      </c>
      <c r="BC240" s="87">
        <f t="shared" si="21"/>
        <v>0</v>
      </c>
      <c r="BD240" s="92">
        <f t="shared" si="22"/>
        <v>0</v>
      </c>
      <c r="BE240" s="89" t="str">
        <f t="shared" si="23"/>
        <v>#VALUE!</v>
      </c>
      <c r="BF240" s="90">
        <f t="shared" si="24"/>
        <v>0</v>
      </c>
      <c r="BH240" s="93">
        <f t="shared" si="25"/>
        <v>26354.33</v>
      </c>
      <c r="BI240" s="94">
        <f t="shared" si="26"/>
        <v>1</v>
      </c>
      <c r="BJ240" s="95" t="str">
        <f t="shared" si="27"/>
        <v>#VALUE!</v>
      </c>
      <c r="BK240" s="96" t="str">
        <f t="shared" si="28"/>
        <v>#VALUE!</v>
      </c>
      <c r="BM240" s="97">
        <f t="shared" si="29"/>
        <v>1</v>
      </c>
    </row>
    <row r="241" ht="12.75" customHeight="1">
      <c r="A241" s="65"/>
      <c r="B241" s="66" t="s">
        <v>492</v>
      </c>
      <c r="C241" s="67">
        <v>30350.0</v>
      </c>
      <c r="D241" s="68">
        <v>11.0</v>
      </c>
      <c r="E241" s="67">
        <v>31413.05</v>
      </c>
      <c r="F241" s="68" t="s">
        <v>56</v>
      </c>
      <c r="G241" s="69">
        <v>44522.0</v>
      </c>
      <c r="H241" s="71" t="s">
        <v>57</v>
      </c>
      <c r="I241" s="69">
        <v>44703.0</v>
      </c>
      <c r="J241" s="71">
        <v>6.0</v>
      </c>
      <c r="K241" s="98" t="s">
        <v>493</v>
      </c>
      <c r="L241" s="72">
        <v>40000.0</v>
      </c>
      <c r="M241" s="73">
        <v>492.89</v>
      </c>
      <c r="N241" s="73">
        <v>6931.0</v>
      </c>
      <c r="O241" s="73">
        <v>2000.0</v>
      </c>
      <c r="P241" s="73">
        <f t="shared" si="70"/>
        <v>0</v>
      </c>
      <c r="Q241" s="73">
        <f t="shared" si="71"/>
        <v>836.94</v>
      </c>
      <c r="R241" s="74">
        <f t="shared" si="72"/>
        <v>0.02664306713</v>
      </c>
      <c r="S241" s="74">
        <f t="shared" si="73"/>
        <v>0.9733569329</v>
      </c>
      <c r="T241" s="75"/>
      <c r="V241" s="76">
        <v>216.0</v>
      </c>
      <c r="W241" s="77">
        <v>138.41</v>
      </c>
      <c r="X241" s="77">
        <v>24.81</v>
      </c>
      <c r="Y241" s="77"/>
      <c r="Z241" s="77">
        <f>125.82+86.13+117.72</f>
        <v>329.67</v>
      </c>
      <c r="AA241" s="77"/>
      <c r="AB241" s="78">
        <f t="shared" si="38"/>
        <v>708.89</v>
      </c>
      <c r="AC241" s="77"/>
      <c r="AD241" s="79">
        <v>0.0</v>
      </c>
      <c r="AE241" s="80">
        <f t="shared" si="93"/>
        <v>0</v>
      </c>
      <c r="AF241" s="81"/>
      <c r="AG241" s="79"/>
      <c r="AH241" s="80">
        <f t="shared" si="94"/>
        <v>0</v>
      </c>
      <c r="AI241" s="82"/>
      <c r="AJ241" s="82">
        <f t="shared" si="7"/>
        <v>0</v>
      </c>
      <c r="AK241" s="83" t="str">
        <f t="shared" si="41"/>
        <v/>
      </c>
      <c r="AL241" s="84">
        <f t="shared" si="42"/>
        <v>492.89</v>
      </c>
      <c r="AP241" s="85">
        <f t="shared" si="9"/>
        <v>1</v>
      </c>
      <c r="AQ241" s="20">
        <f t="shared" si="10"/>
        <v>1</v>
      </c>
      <c r="AR241" s="20">
        <f t="shared" si="11"/>
        <v>1</v>
      </c>
      <c r="AS241" s="86">
        <f t="shared" si="12"/>
        <v>8931</v>
      </c>
      <c r="AT241" s="87">
        <f t="shared" si="13"/>
        <v>31413.05</v>
      </c>
      <c r="AU241" s="88">
        <f t="shared" si="81"/>
        <v>6</v>
      </c>
      <c r="AV241" s="89" t="str">
        <f t="shared" si="15"/>
        <v>#VALUE!</v>
      </c>
      <c r="AW241" s="90" t="str">
        <f t="shared" si="16"/>
        <v>#VALUE!</v>
      </c>
      <c r="AY241" s="85">
        <f t="shared" si="17"/>
        <v>0</v>
      </c>
      <c r="AZ241" s="20">
        <f t="shared" si="18"/>
        <v>1</v>
      </c>
      <c r="BA241" s="20">
        <f t="shared" si="19"/>
        <v>0</v>
      </c>
      <c r="BB241" s="91">
        <f t="shared" si="20"/>
        <v>0</v>
      </c>
      <c r="BC241" s="87">
        <f t="shared" si="21"/>
        <v>0</v>
      </c>
      <c r="BD241" s="92">
        <f t="shared" si="22"/>
        <v>0</v>
      </c>
      <c r="BE241" s="89" t="str">
        <f t="shared" si="23"/>
        <v>#VALUE!</v>
      </c>
      <c r="BF241" s="90">
        <f t="shared" si="24"/>
        <v>0</v>
      </c>
      <c r="BH241" s="93">
        <f t="shared" si="25"/>
        <v>31413.05</v>
      </c>
      <c r="BI241" s="94">
        <f t="shared" si="26"/>
        <v>1</v>
      </c>
      <c r="BJ241" s="95" t="str">
        <f t="shared" si="27"/>
        <v>#VALUE!</v>
      </c>
      <c r="BK241" s="96" t="str">
        <f t="shared" si="28"/>
        <v>#VALUE!</v>
      </c>
      <c r="BM241" s="97">
        <f t="shared" si="29"/>
        <v>1</v>
      </c>
    </row>
    <row r="242" ht="12.75" customHeight="1">
      <c r="A242" s="65"/>
      <c r="B242" s="66" t="s">
        <v>494</v>
      </c>
      <c r="C242" s="67">
        <v>43650.0</v>
      </c>
      <c r="D242" s="68">
        <v>13.0</v>
      </c>
      <c r="E242" s="67">
        <v>41590.18</v>
      </c>
      <c r="F242" s="68" t="s">
        <v>56</v>
      </c>
      <c r="G242" s="69">
        <v>44531.0</v>
      </c>
      <c r="H242" s="71" t="s">
        <v>57</v>
      </c>
      <c r="I242" s="69">
        <v>44656.0</v>
      </c>
      <c r="J242" s="71">
        <f>IF(I242="Active",0,(IF(I242="N/A","N/A",(I242-G242)/30)))</f>
        <v>4.166666667</v>
      </c>
      <c r="K242" s="72" t="s">
        <v>495</v>
      </c>
      <c r="L242" s="72">
        <v>66000.0</v>
      </c>
      <c r="M242" s="73">
        <v>2079.5</v>
      </c>
      <c r="N242" s="73">
        <v>16446.0</v>
      </c>
      <c r="O242" s="73">
        <v>3666.73</v>
      </c>
      <c r="P242" s="73">
        <f t="shared" si="70"/>
        <v>0</v>
      </c>
      <c r="Q242" s="73">
        <f t="shared" si="71"/>
        <v>0</v>
      </c>
      <c r="R242" s="74">
        <f t="shared" si="72"/>
        <v>0</v>
      </c>
      <c r="S242" s="74">
        <f t="shared" si="73"/>
        <v>1</v>
      </c>
      <c r="T242" s="75"/>
      <c r="V242" s="76">
        <v>368.0</v>
      </c>
      <c r="W242" s="77"/>
      <c r="X242" s="77">
        <v>25.76</v>
      </c>
      <c r="Y242" s="77"/>
      <c r="Z242" s="77">
        <f>296.7+546.94</f>
        <v>843.64</v>
      </c>
      <c r="AA242" s="77">
        <v>9795.13</v>
      </c>
      <c r="AB242" s="78">
        <f t="shared" si="38"/>
        <v>11032.53</v>
      </c>
      <c r="AC242" s="77"/>
      <c r="AD242" s="79">
        <v>0.059</v>
      </c>
      <c r="AE242" s="80">
        <f t="shared" si="93"/>
        <v>1210.103319</v>
      </c>
      <c r="AF242" s="81"/>
      <c r="AG242" s="79"/>
      <c r="AH242" s="80">
        <f t="shared" si="94"/>
        <v>0</v>
      </c>
      <c r="AI242" s="82"/>
      <c r="AJ242" s="82">
        <f t="shared" si="7"/>
        <v>1210.103319</v>
      </c>
      <c r="AK242" s="83">
        <f t="shared" si="41"/>
        <v>1210.103319</v>
      </c>
      <c r="AL242" s="84">
        <f t="shared" si="42"/>
        <v>2079.503319</v>
      </c>
      <c r="AP242" s="85">
        <f t="shared" si="9"/>
        <v>1</v>
      </c>
      <c r="AQ242" s="20">
        <f t="shared" si="10"/>
        <v>1</v>
      </c>
      <c r="AR242" s="20">
        <f t="shared" si="11"/>
        <v>1</v>
      </c>
      <c r="AS242" s="86">
        <f t="shared" si="12"/>
        <v>20112.73</v>
      </c>
      <c r="AT242" s="87">
        <f t="shared" si="13"/>
        <v>41590.18</v>
      </c>
      <c r="AU242" s="88">
        <f t="shared" si="81"/>
        <v>4.166666667</v>
      </c>
      <c r="AV242" s="89" t="str">
        <f t="shared" si="15"/>
        <v>#VALUE!</v>
      </c>
      <c r="AW242" s="90" t="str">
        <f t="shared" si="16"/>
        <v>#VALUE!</v>
      </c>
      <c r="AY242" s="85">
        <f t="shared" si="17"/>
        <v>0</v>
      </c>
      <c r="AZ242" s="20">
        <f t="shared" si="18"/>
        <v>1</v>
      </c>
      <c r="BA242" s="20">
        <f t="shared" si="19"/>
        <v>0</v>
      </c>
      <c r="BB242" s="91">
        <f t="shared" si="20"/>
        <v>0</v>
      </c>
      <c r="BC242" s="87">
        <f t="shared" si="21"/>
        <v>0</v>
      </c>
      <c r="BD242" s="92">
        <f t="shared" si="22"/>
        <v>0</v>
      </c>
      <c r="BE242" s="89" t="str">
        <f t="shared" si="23"/>
        <v>#VALUE!</v>
      </c>
      <c r="BF242" s="90">
        <f t="shared" si="24"/>
        <v>0</v>
      </c>
      <c r="BH242" s="93">
        <f t="shared" si="25"/>
        <v>41590.18</v>
      </c>
      <c r="BI242" s="94">
        <f t="shared" si="26"/>
        <v>1</v>
      </c>
      <c r="BJ242" s="95" t="str">
        <f t="shared" si="27"/>
        <v>#VALUE!</v>
      </c>
      <c r="BK242" s="96" t="str">
        <f t="shared" si="28"/>
        <v>#VALUE!</v>
      </c>
      <c r="BM242" s="97">
        <f t="shared" si="29"/>
        <v>1</v>
      </c>
    </row>
    <row r="243" ht="12.75" customHeight="1">
      <c r="A243" s="65"/>
      <c r="B243" s="66" t="s">
        <v>496</v>
      </c>
      <c r="C243" s="67">
        <v>34634.26</v>
      </c>
      <c r="D243" s="68">
        <v>13.0</v>
      </c>
      <c r="E243" s="67">
        <v>30769.67</v>
      </c>
      <c r="F243" s="68" t="s">
        <v>56</v>
      </c>
      <c r="G243" s="69">
        <v>44533.0</v>
      </c>
      <c r="H243" s="71" t="s">
        <v>57</v>
      </c>
      <c r="I243" s="69">
        <v>44703.0</v>
      </c>
      <c r="J243" s="71">
        <v>5.0</v>
      </c>
      <c r="K243" s="98" t="s">
        <v>497</v>
      </c>
      <c r="L243" s="72">
        <v>42000.0</v>
      </c>
      <c r="M243" s="73">
        <v>798.08</v>
      </c>
      <c r="N243" s="73">
        <v>7635.0</v>
      </c>
      <c r="O243" s="73">
        <v>3645.0</v>
      </c>
      <c r="P243" s="73">
        <f t="shared" si="70"/>
        <v>0</v>
      </c>
      <c r="Q243" s="73">
        <f t="shared" si="71"/>
        <v>847.75</v>
      </c>
      <c r="R243" s="74">
        <f t="shared" si="72"/>
        <v>0.0275514817</v>
      </c>
      <c r="S243" s="74">
        <f t="shared" si="73"/>
        <v>0.9724485183</v>
      </c>
      <c r="T243" s="75"/>
      <c r="V243" s="76">
        <v>464.0</v>
      </c>
      <c r="W243" s="77"/>
      <c r="X243" s="77">
        <v>32.48</v>
      </c>
      <c r="Y243" s="77"/>
      <c r="Z243" s="77">
        <f>269.7+210.54+285.36</f>
        <v>765.6</v>
      </c>
      <c r="AA243" s="77"/>
      <c r="AB243" s="78">
        <f t="shared" si="38"/>
        <v>1262.08</v>
      </c>
      <c r="AC243" s="77"/>
      <c r="AD243" s="79">
        <v>0.0</v>
      </c>
      <c r="AE243" s="80">
        <f t="shared" si="93"/>
        <v>0</v>
      </c>
      <c r="AF243" s="81"/>
      <c r="AG243" s="79"/>
      <c r="AH243" s="80">
        <f t="shared" si="94"/>
        <v>0</v>
      </c>
      <c r="AI243" s="82"/>
      <c r="AJ243" s="82">
        <f t="shared" si="7"/>
        <v>0</v>
      </c>
      <c r="AK243" s="83" t="str">
        <f t="shared" si="41"/>
        <v/>
      </c>
      <c r="AL243" s="84">
        <f t="shared" si="42"/>
        <v>798.08</v>
      </c>
      <c r="AP243" s="85">
        <f t="shared" si="9"/>
        <v>1</v>
      </c>
      <c r="AQ243" s="20">
        <f t="shared" si="10"/>
        <v>1</v>
      </c>
      <c r="AR243" s="20">
        <f t="shared" si="11"/>
        <v>1</v>
      </c>
      <c r="AS243" s="86">
        <f t="shared" si="12"/>
        <v>11280</v>
      </c>
      <c r="AT243" s="87">
        <f t="shared" si="13"/>
        <v>30769.67</v>
      </c>
      <c r="AU243" s="88">
        <f t="shared" si="81"/>
        <v>5</v>
      </c>
      <c r="AV243" s="89" t="str">
        <f t="shared" si="15"/>
        <v>#VALUE!</v>
      </c>
      <c r="AW243" s="90" t="str">
        <f t="shared" si="16"/>
        <v>#VALUE!</v>
      </c>
      <c r="AY243" s="85">
        <f t="shared" si="17"/>
        <v>0</v>
      </c>
      <c r="AZ243" s="20">
        <f t="shared" si="18"/>
        <v>1</v>
      </c>
      <c r="BA243" s="20">
        <f t="shared" si="19"/>
        <v>0</v>
      </c>
      <c r="BB243" s="91">
        <f t="shared" si="20"/>
        <v>0</v>
      </c>
      <c r="BC243" s="87">
        <f t="shared" si="21"/>
        <v>0</v>
      </c>
      <c r="BD243" s="92">
        <f t="shared" si="22"/>
        <v>0</v>
      </c>
      <c r="BE243" s="89" t="str">
        <f t="shared" si="23"/>
        <v>#VALUE!</v>
      </c>
      <c r="BF243" s="90">
        <f t="shared" si="24"/>
        <v>0</v>
      </c>
      <c r="BH243" s="93">
        <f t="shared" si="25"/>
        <v>30769.67</v>
      </c>
      <c r="BI243" s="94">
        <f t="shared" si="26"/>
        <v>1</v>
      </c>
      <c r="BJ243" s="95" t="str">
        <f t="shared" si="27"/>
        <v>#VALUE!</v>
      </c>
      <c r="BK243" s="96" t="str">
        <f t="shared" si="28"/>
        <v>#VALUE!</v>
      </c>
      <c r="BM243" s="97">
        <f t="shared" si="29"/>
        <v>1</v>
      </c>
    </row>
    <row r="244" ht="12.75" customHeight="1">
      <c r="A244" s="65"/>
      <c r="B244" s="66" t="s">
        <v>498</v>
      </c>
      <c r="C244" s="67">
        <v>36000.0</v>
      </c>
      <c r="D244" s="68">
        <v>13.0</v>
      </c>
      <c r="E244" s="67">
        <v>33934.03</v>
      </c>
      <c r="F244" s="68" t="s">
        <v>56</v>
      </c>
      <c r="G244" s="69">
        <v>44557.0</v>
      </c>
      <c r="H244" s="71" t="s">
        <v>57</v>
      </c>
      <c r="I244" s="69">
        <v>44680.0</v>
      </c>
      <c r="J244" s="71">
        <f t="shared" ref="J244:J245" si="95">IF(I244="Active",0,(IF(I244="N/A","N/A",(I244-G244)/30)))</f>
        <v>4.1</v>
      </c>
      <c r="K244" s="72" t="s">
        <v>499</v>
      </c>
      <c r="L244" s="72">
        <v>62000.0</v>
      </c>
      <c r="M244" s="73">
        <v>2141.67</v>
      </c>
      <c r="N244" s="73">
        <v>9245.62</v>
      </c>
      <c r="O244" s="73">
        <v>4124.54</v>
      </c>
      <c r="P244" s="73">
        <f t="shared" si="70"/>
        <v>0</v>
      </c>
      <c r="Q244" s="73">
        <f t="shared" si="71"/>
        <v>0</v>
      </c>
      <c r="R244" s="74">
        <f t="shared" si="72"/>
        <v>0</v>
      </c>
      <c r="S244" s="74">
        <f t="shared" si="73"/>
        <v>1</v>
      </c>
      <c r="T244" s="75"/>
      <c r="V244" s="76">
        <v>208.0</v>
      </c>
      <c r="W244" s="77"/>
      <c r="X244" s="77">
        <v>14.56</v>
      </c>
      <c r="Y244" s="77">
        <v>373.53</v>
      </c>
      <c r="Z244" s="77">
        <f>467.48+155.74</f>
        <v>623.22</v>
      </c>
      <c r="AA244" s="77">
        <f>2437.4+2877.33</f>
        <v>5314.73</v>
      </c>
      <c r="AB244" s="78">
        <f t="shared" si="38"/>
        <v>6534.04</v>
      </c>
      <c r="AC244" s="77">
        <v>16653.93</v>
      </c>
      <c r="AD244" s="79">
        <v>0.065</v>
      </c>
      <c r="AE244" s="80">
        <f t="shared" ref="AE244:AE246" si="96">((AC244*AD244)/365)*180</f>
        <v>533.8383041</v>
      </c>
      <c r="AF244" s="81">
        <v>17280.1</v>
      </c>
      <c r="AG244" s="79">
        <v>0.07</v>
      </c>
      <c r="AH244" s="80">
        <f t="shared" ref="AH244:AH246" si="97">((AF244*AG244)/365)*180</f>
        <v>596.5185205</v>
      </c>
      <c r="AI244" s="82">
        <f t="shared" ref="AI244:AI249" si="98">AC244+AF244</f>
        <v>33934.03</v>
      </c>
      <c r="AJ244" s="82">
        <f t="shared" si="7"/>
        <v>1130.356825</v>
      </c>
      <c r="AK244" s="83">
        <f t="shared" si="41"/>
        <v>1130.356825</v>
      </c>
      <c r="AL244" s="84">
        <f t="shared" si="42"/>
        <v>2141.666825</v>
      </c>
      <c r="AP244" s="85">
        <f t="shared" si="9"/>
        <v>1</v>
      </c>
      <c r="AQ244" s="20">
        <f t="shared" si="10"/>
        <v>1</v>
      </c>
      <c r="AR244" s="20">
        <f t="shared" si="11"/>
        <v>1</v>
      </c>
      <c r="AS244" s="86">
        <f t="shared" si="12"/>
        <v>13370.16</v>
      </c>
      <c r="AT244" s="87">
        <f t="shared" si="13"/>
        <v>33934.03</v>
      </c>
      <c r="AU244" s="88">
        <f t="shared" si="81"/>
        <v>4.1</v>
      </c>
      <c r="AV244" s="89" t="str">
        <f t="shared" si="15"/>
        <v>#VALUE!</v>
      </c>
      <c r="AW244" s="90" t="str">
        <f t="shared" si="16"/>
        <v>#VALUE!</v>
      </c>
      <c r="AY244" s="85">
        <f t="shared" si="17"/>
        <v>0</v>
      </c>
      <c r="AZ244" s="20">
        <f t="shared" si="18"/>
        <v>1</v>
      </c>
      <c r="BA244" s="20">
        <f t="shared" si="19"/>
        <v>0</v>
      </c>
      <c r="BB244" s="91">
        <f t="shared" si="20"/>
        <v>0</v>
      </c>
      <c r="BC244" s="87">
        <f t="shared" si="21"/>
        <v>0</v>
      </c>
      <c r="BD244" s="92">
        <f t="shared" si="22"/>
        <v>0</v>
      </c>
      <c r="BE244" s="89" t="str">
        <f t="shared" si="23"/>
        <v>#VALUE!</v>
      </c>
      <c r="BF244" s="90">
        <f t="shared" si="24"/>
        <v>0</v>
      </c>
      <c r="BH244" s="93">
        <f t="shared" si="25"/>
        <v>33934.03</v>
      </c>
      <c r="BI244" s="94">
        <f t="shared" si="26"/>
        <v>1</v>
      </c>
      <c r="BJ244" s="95" t="str">
        <f t="shared" si="27"/>
        <v>#VALUE!</v>
      </c>
      <c r="BK244" s="96" t="str">
        <f t="shared" si="28"/>
        <v>#VALUE!</v>
      </c>
      <c r="BM244" s="97">
        <f t="shared" si="29"/>
        <v>1</v>
      </c>
    </row>
    <row r="245" ht="12.75" customHeight="1">
      <c r="A245" s="65"/>
      <c r="B245" s="66" t="s">
        <v>500</v>
      </c>
      <c r="C245" s="67">
        <v>23186.49</v>
      </c>
      <c r="D245" s="68">
        <v>13.0</v>
      </c>
      <c r="E245" s="67">
        <v>19381.65</v>
      </c>
      <c r="F245" s="68" t="s">
        <v>56</v>
      </c>
      <c r="G245" s="69">
        <v>44558.0</v>
      </c>
      <c r="H245" s="70" t="s">
        <v>57</v>
      </c>
      <c r="I245" s="100">
        <v>45441.0</v>
      </c>
      <c r="J245" s="71">
        <f t="shared" si="95"/>
        <v>29.43333333</v>
      </c>
      <c r="K245" s="98" t="s">
        <v>501</v>
      </c>
      <c r="L245" s="98">
        <v>42500.0</v>
      </c>
      <c r="M245" s="73">
        <v>1145.6374273972601</v>
      </c>
      <c r="N245" s="73">
        <v>5531.13</v>
      </c>
      <c r="O245" s="101">
        <v>6200.86</v>
      </c>
      <c r="P245" s="73">
        <f t="shared" si="70"/>
        <v>0</v>
      </c>
      <c r="Q245" s="73">
        <f t="shared" si="71"/>
        <v>0</v>
      </c>
      <c r="R245" s="74">
        <f t="shared" si="72"/>
        <v>0</v>
      </c>
      <c r="S245" s="74">
        <f t="shared" si="73"/>
        <v>1</v>
      </c>
      <c r="T245" s="75"/>
      <c r="V245" s="102">
        <v>224.0</v>
      </c>
      <c r="W245" s="77"/>
      <c r="X245" s="103">
        <v>15.68</v>
      </c>
      <c r="Y245" s="103">
        <v>136.08</v>
      </c>
      <c r="Z245" s="77">
        <f>120.96+96.6+77.56+21.06+41.34</f>
        <v>357.52</v>
      </c>
      <c r="AA245" s="103">
        <f>2470.02+1151.26</f>
        <v>3621.28</v>
      </c>
      <c r="AB245" s="78">
        <f t="shared" si="38"/>
        <v>4354.56</v>
      </c>
      <c r="AC245" s="103">
        <v>13264.81</v>
      </c>
      <c r="AD245" s="104">
        <v>0.065</v>
      </c>
      <c r="AE245" s="80">
        <f t="shared" si="96"/>
        <v>425.2007589</v>
      </c>
      <c r="AF245" s="105">
        <v>6116.84</v>
      </c>
      <c r="AG245" s="104">
        <v>0.07</v>
      </c>
      <c r="AH245" s="80">
        <f t="shared" si="97"/>
        <v>211.1566685</v>
      </c>
      <c r="AI245" s="82">
        <f t="shared" si="98"/>
        <v>19381.65</v>
      </c>
      <c r="AJ245" s="82">
        <f t="shared" si="7"/>
        <v>636.3574274</v>
      </c>
      <c r="AK245" s="83">
        <f t="shared" si="41"/>
        <v>636.3574274</v>
      </c>
      <c r="AL245" s="84">
        <f t="shared" si="42"/>
        <v>1145.637427</v>
      </c>
      <c r="AP245" s="85">
        <f t="shared" si="9"/>
        <v>1</v>
      </c>
      <c r="AQ245" s="20">
        <f t="shared" si="10"/>
        <v>1</v>
      </c>
      <c r="AR245" s="20">
        <f t="shared" si="11"/>
        <v>1</v>
      </c>
      <c r="AS245" s="86">
        <f t="shared" si="12"/>
        <v>11731.99</v>
      </c>
      <c r="AT245" s="87">
        <f t="shared" si="13"/>
        <v>19381.65</v>
      </c>
      <c r="AU245" s="88">
        <f t="shared" si="81"/>
        <v>29.43333333</v>
      </c>
      <c r="AV245" s="89" t="str">
        <f t="shared" si="15"/>
        <v>#VALUE!</v>
      </c>
      <c r="AW245" s="90" t="str">
        <f t="shared" si="16"/>
        <v>#VALUE!</v>
      </c>
      <c r="AY245" s="85">
        <f t="shared" si="17"/>
        <v>0</v>
      </c>
      <c r="AZ245" s="20">
        <f t="shared" si="18"/>
        <v>1</v>
      </c>
      <c r="BA245" s="20">
        <f t="shared" si="19"/>
        <v>0</v>
      </c>
      <c r="BB245" s="91">
        <f t="shared" si="20"/>
        <v>0</v>
      </c>
      <c r="BC245" s="87">
        <f t="shared" si="21"/>
        <v>0</v>
      </c>
      <c r="BD245" s="92">
        <f t="shared" si="22"/>
        <v>0</v>
      </c>
      <c r="BE245" s="89" t="str">
        <f t="shared" si="23"/>
        <v>#VALUE!</v>
      </c>
      <c r="BF245" s="90">
        <f t="shared" si="24"/>
        <v>0</v>
      </c>
      <c r="BH245" s="93">
        <f t="shared" si="25"/>
        <v>19381.65</v>
      </c>
      <c r="BI245" s="94">
        <f t="shared" si="26"/>
        <v>1</v>
      </c>
      <c r="BJ245" s="95" t="str">
        <f t="shared" si="27"/>
        <v>#VALUE!</v>
      </c>
      <c r="BK245" s="96" t="str">
        <f t="shared" si="28"/>
        <v>#VALUE!</v>
      </c>
      <c r="BM245" s="97">
        <f t="shared" si="29"/>
        <v>1</v>
      </c>
    </row>
    <row r="246" ht="12.75" customHeight="1">
      <c r="A246" s="65"/>
      <c r="B246" s="66" t="s">
        <v>502</v>
      </c>
      <c r="C246" s="67">
        <v>41400.0</v>
      </c>
      <c r="D246" s="68">
        <v>13.0</v>
      </c>
      <c r="E246" s="67">
        <v>40692.51</v>
      </c>
      <c r="F246" s="68" t="s">
        <v>56</v>
      </c>
      <c r="G246" s="69">
        <v>44586.0</v>
      </c>
      <c r="H246" s="71" t="s">
        <v>57</v>
      </c>
      <c r="I246" s="69">
        <v>44703.0</v>
      </c>
      <c r="J246" s="71">
        <v>4.0</v>
      </c>
      <c r="K246" s="72" t="s">
        <v>503</v>
      </c>
      <c r="L246" s="72">
        <v>45000.0</v>
      </c>
      <c r="M246" s="73">
        <v>4062.16</v>
      </c>
      <c r="N246" s="73">
        <v>8996.0</v>
      </c>
      <c r="O246" s="73">
        <v>3298.0</v>
      </c>
      <c r="P246" s="73">
        <f t="shared" si="70"/>
        <v>0</v>
      </c>
      <c r="Q246" s="73">
        <f t="shared" si="71"/>
        <v>12048.67</v>
      </c>
      <c r="R246" s="74">
        <f t="shared" si="72"/>
        <v>0.2960906073</v>
      </c>
      <c r="S246" s="74">
        <f t="shared" si="73"/>
        <v>0.7039093927</v>
      </c>
      <c r="T246" s="75"/>
      <c r="V246" s="76">
        <v>400.0</v>
      </c>
      <c r="W246" s="77">
        <f>241.1+165.83</f>
        <v>406.93</v>
      </c>
      <c r="X246" s="77">
        <f>39.61+16.88</f>
        <v>56.49</v>
      </c>
      <c r="Y246" s="77">
        <v>1431.4</v>
      </c>
      <c r="Z246" s="77">
        <f>306+350+147.5</f>
        <v>803.5</v>
      </c>
      <c r="AA246" s="77">
        <f>4682+10154.34</f>
        <v>14836.34</v>
      </c>
      <c r="AB246" s="78">
        <f t="shared" si="38"/>
        <v>17934.66</v>
      </c>
      <c r="AC246" s="77">
        <v>16582.69</v>
      </c>
      <c r="AD246" s="79">
        <v>0.065</v>
      </c>
      <c r="AE246" s="80">
        <f t="shared" si="96"/>
        <v>531.5547205</v>
      </c>
      <c r="AF246" s="81">
        <v>24109.82</v>
      </c>
      <c r="AG246" s="79">
        <v>0.07</v>
      </c>
      <c r="AH246" s="80">
        <f t="shared" si="97"/>
        <v>832.2841973</v>
      </c>
      <c r="AI246" s="82">
        <f t="shared" si="98"/>
        <v>40692.51</v>
      </c>
      <c r="AJ246" s="82">
        <f t="shared" si="7"/>
        <v>1363.838918</v>
      </c>
      <c r="AK246" s="83">
        <f t="shared" si="41"/>
        <v>1363.838918</v>
      </c>
      <c r="AL246" s="84">
        <f t="shared" si="42"/>
        <v>4062.158918</v>
      </c>
      <c r="AP246" s="85">
        <f t="shared" si="9"/>
        <v>1</v>
      </c>
      <c r="AQ246" s="20">
        <f t="shared" si="10"/>
        <v>1</v>
      </c>
      <c r="AR246" s="20">
        <f t="shared" si="11"/>
        <v>1</v>
      </c>
      <c r="AS246" s="86">
        <f t="shared" si="12"/>
        <v>12294</v>
      </c>
      <c r="AT246" s="87">
        <f t="shared" si="13"/>
        <v>40692.51</v>
      </c>
      <c r="AU246" s="88">
        <f t="shared" si="81"/>
        <v>4</v>
      </c>
      <c r="AV246" s="89" t="str">
        <f t="shared" si="15"/>
        <v>#VALUE!</v>
      </c>
      <c r="AW246" s="90" t="str">
        <f t="shared" si="16"/>
        <v>#VALUE!</v>
      </c>
      <c r="AY246" s="85">
        <f t="shared" si="17"/>
        <v>0</v>
      </c>
      <c r="AZ246" s="20">
        <f t="shared" si="18"/>
        <v>1</v>
      </c>
      <c r="BA246" s="20">
        <f t="shared" si="19"/>
        <v>0</v>
      </c>
      <c r="BB246" s="91">
        <f t="shared" si="20"/>
        <v>0</v>
      </c>
      <c r="BC246" s="87">
        <f t="shared" si="21"/>
        <v>0</v>
      </c>
      <c r="BD246" s="92">
        <f t="shared" si="22"/>
        <v>0</v>
      </c>
      <c r="BE246" s="89" t="str">
        <f t="shared" si="23"/>
        <v>#VALUE!</v>
      </c>
      <c r="BF246" s="90">
        <f t="shared" si="24"/>
        <v>0</v>
      </c>
      <c r="BH246" s="93">
        <f t="shared" si="25"/>
        <v>40692.51</v>
      </c>
      <c r="BI246" s="94">
        <f t="shared" si="26"/>
        <v>1</v>
      </c>
      <c r="BJ246" s="95" t="str">
        <f t="shared" si="27"/>
        <v>#VALUE!</v>
      </c>
      <c r="BK246" s="96" t="str">
        <f t="shared" si="28"/>
        <v>#VALUE!</v>
      </c>
      <c r="BM246" s="97">
        <f t="shared" si="29"/>
        <v>1</v>
      </c>
    </row>
    <row r="247" ht="12.75" customHeight="1">
      <c r="A247" s="65"/>
      <c r="B247" s="66" t="s">
        <v>504</v>
      </c>
      <c r="C247" s="106">
        <v>38600.0</v>
      </c>
      <c r="D247" s="68">
        <v>13.0</v>
      </c>
      <c r="E247" s="67">
        <v>45115.75</v>
      </c>
      <c r="F247" s="68" t="s">
        <v>56</v>
      </c>
      <c r="G247" s="69">
        <v>44613.0</v>
      </c>
      <c r="H247" s="71" t="s">
        <v>57</v>
      </c>
      <c r="I247" s="69">
        <v>44677.0</v>
      </c>
      <c r="J247" s="71">
        <f t="shared" ref="J247:J368" si="99">IF(I247="Active",0,(IF(I247="N/A","N/A",(I247-G247)/30)))</f>
        <v>2.133333333</v>
      </c>
      <c r="K247" s="72" t="s">
        <v>505</v>
      </c>
      <c r="L247" s="72">
        <v>50000.0</v>
      </c>
      <c r="M247" s="73">
        <v>615.91</v>
      </c>
      <c r="N247" s="73">
        <v>9980.61</v>
      </c>
      <c r="O247" s="73">
        <v>4160.0</v>
      </c>
      <c r="P247" s="73">
        <f t="shared" si="70"/>
        <v>0</v>
      </c>
      <c r="Q247" s="73">
        <f t="shared" si="71"/>
        <v>9872.27</v>
      </c>
      <c r="R247" s="74">
        <f t="shared" si="72"/>
        <v>0.2188209217</v>
      </c>
      <c r="S247" s="74">
        <f t="shared" si="73"/>
        <v>0.7811790783</v>
      </c>
      <c r="T247" s="75"/>
      <c r="V247" s="76">
        <v>506.19</v>
      </c>
      <c r="W247" s="77"/>
      <c r="X247" s="77">
        <v>35.43</v>
      </c>
      <c r="Y247" s="77"/>
      <c r="Z247" s="77">
        <v>246.75</v>
      </c>
      <c r="AA247" s="77">
        <v>2675.75</v>
      </c>
      <c r="AB247" s="78">
        <f t="shared" si="38"/>
        <v>3464.12</v>
      </c>
      <c r="AC247" s="77"/>
      <c r="AD247" s="79">
        <v>0.015</v>
      </c>
      <c r="AE247" s="80">
        <f>((E247*AD247)/365)*180</f>
        <v>333.7329452</v>
      </c>
      <c r="AF247" s="81"/>
      <c r="AG247" s="79"/>
      <c r="AH247" s="80">
        <f>((E247*AG247)/365)*180</f>
        <v>0</v>
      </c>
      <c r="AI247" s="82">
        <f t="shared" si="98"/>
        <v>0</v>
      </c>
      <c r="AJ247" s="82">
        <f t="shared" si="7"/>
        <v>333.7329452</v>
      </c>
      <c r="AK247" s="83">
        <f t="shared" si="41"/>
        <v>333.7329452</v>
      </c>
      <c r="AL247" s="84">
        <f t="shared" si="42"/>
        <v>615.9129452</v>
      </c>
      <c r="AP247" s="85">
        <f t="shared" si="9"/>
        <v>1</v>
      </c>
      <c r="AQ247" s="20">
        <f t="shared" si="10"/>
        <v>1</v>
      </c>
      <c r="AR247" s="20">
        <f t="shared" si="11"/>
        <v>1</v>
      </c>
      <c r="AS247" s="86">
        <f t="shared" si="12"/>
        <v>14140.61</v>
      </c>
      <c r="AT247" s="87">
        <f t="shared" si="13"/>
        <v>45115.75</v>
      </c>
      <c r="AU247" s="88">
        <f t="shared" si="81"/>
        <v>2.133333333</v>
      </c>
      <c r="AV247" s="89" t="str">
        <f t="shared" si="15"/>
        <v>#VALUE!</v>
      </c>
      <c r="AW247" s="90" t="str">
        <f t="shared" si="16"/>
        <v>#VALUE!</v>
      </c>
      <c r="AY247" s="85">
        <f t="shared" si="17"/>
        <v>0</v>
      </c>
      <c r="AZ247" s="20">
        <f t="shared" si="18"/>
        <v>1</v>
      </c>
      <c r="BA247" s="20">
        <f t="shared" si="19"/>
        <v>0</v>
      </c>
      <c r="BB247" s="91">
        <f t="shared" si="20"/>
        <v>0</v>
      </c>
      <c r="BC247" s="87">
        <f t="shared" si="21"/>
        <v>0</v>
      </c>
      <c r="BD247" s="92">
        <f t="shared" si="22"/>
        <v>0</v>
      </c>
      <c r="BE247" s="89" t="str">
        <f t="shared" si="23"/>
        <v>#VALUE!</v>
      </c>
      <c r="BF247" s="90">
        <f t="shared" si="24"/>
        <v>0</v>
      </c>
      <c r="BH247" s="93">
        <f t="shared" si="25"/>
        <v>45115.75</v>
      </c>
      <c r="BI247" s="94">
        <f t="shared" si="26"/>
        <v>1</v>
      </c>
      <c r="BJ247" s="95" t="str">
        <f t="shared" si="27"/>
        <v>#VALUE!</v>
      </c>
      <c r="BK247" s="96" t="str">
        <f t="shared" si="28"/>
        <v>#VALUE!</v>
      </c>
      <c r="BM247" s="97">
        <f t="shared" si="29"/>
        <v>1</v>
      </c>
    </row>
    <row r="248" ht="12.75" customHeight="1">
      <c r="A248" s="65"/>
      <c r="B248" s="66" t="s">
        <v>506</v>
      </c>
      <c r="C248" s="67">
        <v>49418.46</v>
      </c>
      <c r="D248" s="68">
        <v>13.0</v>
      </c>
      <c r="E248" s="67">
        <v>47486.58</v>
      </c>
      <c r="F248" s="68" t="s">
        <v>56</v>
      </c>
      <c r="G248" s="69">
        <v>44614.0</v>
      </c>
      <c r="H248" s="71" t="s">
        <v>57</v>
      </c>
      <c r="I248" s="69">
        <v>44858.0</v>
      </c>
      <c r="J248" s="71">
        <f t="shared" si="99"/>
        <v>8.133333333</v>
      </c>
      <c r="K248" s="72" t="s">
        <v>507</v>
      </c>
      <c r="L248" s="72">
        <v>46000.0</v>
      </c>
      <c r="M248" s="73">
        <v>2156.14</v>
      </c>
      <c r="N248" s="73">
        <v>4627.32</v>
      </c>
      <c r="O248" s="73">
        <v>2080.0</v>
      </c>
      <c r="P248" s="73">
        <f t="shared" si="70"/>
        <v>1486.58</v>
      </c>
      <c r="Q248" s="73">
        <f t="shared" si="71"/>
        <v>10350.04</v>
      </c>
      <c r="R248" s="74">
        <f t="shared" si="72"/>
        <v>0.2179571576</v>
      </c>
      <c r="S248" s="74">
        <f t="shared" si="73"/>
        <v>0.7820428424</v>
      </c>
      <c r="T248" s="75"/>
      <c r="V248" s="76">
        <v>462.5</v>
      </c>
      <c r="W248" s="77"/>
      <c r="X248" s="77">
        <v>32.38</v>
      </c>
      <c r="Y248" s="77"/>
      <c r="Z248" s="77">
        <f>289+221</f>
        <v>510</v>
      </c>
      <c r="AA248" s="77">
        <v>4548.77</v>
      </c>
      <c r="AB248" s="78">
        <f t="shared" si="38"/>
        <v>5553.65</v>
      </c>
      <c r="AC248" s="77">
        <v>20687.18</v>
      </c>
      <c r="AD248" s="79">
        <v>0.0675</v>
      </c>
      <c r="AE248" s="80">
        <f>((AC248*AD248)/365)*180</f>
        <v>688.6280466</v>
      </c>
      <c r="AF248" s="81">
        <v>26799.4</v>
      </c>
      <c r="AG248" s="79">
        <v>0.07</v>
      </c>
      <c r="AH248" s="80">
        <f t="shared" ref="AH248:AH249" si="100">((AF248*AG248)/365)*180</f>
        <v>925.1299726</v>
      </c>
      <c r="AI248" s="82">
        <f t="shared" si="98"/>
        <v>47486.58</v>
      </c>
      <c r="AJ248" s="82">
        <f t="shared" si="7"/>
        <v>1613.758019</v>
      </c>
      <c r="AK248" s="83">
        <f t="shared" si="41"/>
        <v>1613.758019</v>
      </c>
      <c r="AL248" s="84">
        <f t="shared" si="42"/>
        <v>2156.138019</v>
      </c>
      <c r="AP248" s="85">
        <f t="shared" si="9"/>
        <v>1</v>
      </c>
      <c r="AQ248" s="20">
        <f t="shared" si="10"/>
        <v>1</v>
      </c>
      <c r="AR248" s="20">
        <f t="shared" si="11"/>
        <v>1</v>
      </c>
      <c r="AS248" s="86">
        <f t="shared" si="12"/>
        <v>6707.32</v>
      </c>
      <c r="AT248" s="87">
        <f t="shared" si="13"/>
        <v>47486.58</v>
      </c>
      <c r="AU248" s="88">
        <f t="shared" si="81"/>
        <v>8.133333333</v>
      </c>
      <c r="AV248" s="89" t="str">
        <f t="shared" si="15"/>
        <v>#VALUE!</v>
      </c>
      <c r="AW248" s="90" t="str">
        <f t="shared" si="16"/>
        <v>#VALUE!</v>
      </c>
      <c r="AY248" s="85">
        <f t="shared" si="17"/>
        <v>0</v>
      </c>
      <c r="AZ248" s="20">
        <f t="shared" si="18"/>
        <v>1</v>
      </c>
      <c r="BA248" s="20">
        <f t="shared" si="19"/>
        <v>0</v>
      </c>
      <c r="BB248" s="91">
        <f t="shared" si="20"/>
        <v>0</v>
      </c>
      <c r="BC248" s="87">
        <f t="shared" si="21"/>
        <v>0</v>
      </c>
      <c r="BD248" s="92">
        <f t="shared" si="22"/>
        <v>0</v>
      </c>
      <c r="BE248" s="89" t="str">
        <f t="shared" si="23"/>
        <v>#VALUE!</v>
      </c>
      <c r="BF248" s="90">
        <f t="shared" si="24"/>
        <v>0</v>
      </c>
      <c r="BH248" s="93">
        <f t="shared" si="25"/>
        <v>47486.58</v>
      </c>
      <c r="BI248" s="94">
        <f t="shared" si="26"/>
        <v>1</v>
      </c>
      <c r="BJ248" s="95" t="str">
        <f t="shared" si="27"/>
        <v>#VALUE!</v>
      </c>
      <c r="BK248" s="96" t="str">
        <f t="shared" si="28"/>
        <v>#VALUE!</v>
      </c>
      <c r="BM248" s="97">
        <f t="shared" si="29"/>
        <v>1</v>
      </c>
    </row>
    <row r="249" ht="12.75" customHeight="1">
      <c r="A249" s="65"/>
      <c r="B249" s="66" t="s">
        <v>508</v>
      </c>
      <c r="C249" s="67">
        <v>40399.0</v>
      </c>
      <c r="D249" s="68">
        <v>13.0</v>
      </c>
      <c r="E249" s="67">
        <v>38003.82</v>
      </c>
      <c r="F249" s="68" t="s">
        <v>56</v>
      </c>
      <c r="G249" s="69">
        <v>44630.0</v>
      </c>
      <c r="H249" s="71" t="s">
        <v>57</v>
      </c>
      <c r="I249" s="69">
        <v>44824.0</v>
      </c>
      <c r="J249" s="71">
        <f t="shared" si="99"/>
        <v>6.466666667</v>
      </c>
      <c r="K249" s="98" t="s">
        <v>509</v>
      </c>
      <c r="L249" s="72">
        <v>54337.28</v>
      </c>
      <c r="M249" s="73">
        <v>1016.97</v>
      </c>
      <c r="N249" s="73">
        <v>8255.57</v>
      </c>
      <c r="O249" s="73">
        <v>2842.59</v>
      </c>
      <c r="P249" s="73">
        <f t="shared" si="70"/>
        <v>0</v>
      </c>
      <c r="Q249" s="73">
        <f t="shared" si="71"/>
        <v>0</v>
      </c>
      <c r="R249" s="74">
        <f t="shared" si="72"/>
        <v>0</v>
      </c>
      <c r="S249" s="74">
        <f t="shared" si="73"/>
        <v>1</v>
      </c>
      <c r="T249" s="75"/>
      <c r="V249" s="76">
        <v>379.25</v>
      </c>
      <c r="W249" s="77"/>
      <c r="X249" s="77">
        <v>26.55</v>
      </c>
      <c r="Y249" s="77"/>
      <c r="Z249" s="77">
        <f>214.84+243.54+250.92</f>
        <v>709.3</v>
      </c>
      <c r="AA249" s="77">
        <v>1963.79</v>
      </c>
      <c r="AB249" s="78">
        <f t="shared" si="38"/>
        <v>3078.89</v>
      </c>
      <c r="AC249" s="77"/>
      <c r="AD249" s="79">
        <v>0.015</v>
      </c>
      <c r="AE249" s="80">
        <f>((E249*AD249)/365)*180</f>
        <v>281.1241479</v>
      </c>
      <c r="AF249" s="81"/>
      <c r="AG249" s="79"/>
      <c r="AH249" s="80">
        <f t="shared" si="100"/>
        <v>0</v>
      </c>
      <c r="AI249" s="82">
        <f t="shared" si="98"/>
        <v>0</v>
      </c>
      <c r="AJ249" s="82">
        <f t="shared" si="7"/>
        <v>281.1241479</v>
      </c>
      <c r="AK249" s="83">
        <f t="shared" si="41"/>
        <v>281.1241479</v>
      </c>
      <c r="AL249" s="84">
        <f t="shared" si="42"/>
        <v>1016.974148</v>
      </c>
      <c r="AP249" s="85">
        <f t="shared" si="9"/>
        <v>1</v>
      </c>
      <c r="AQ249" s="20">
        <f t="shared" si="10"/>
        <v>1</v>
      </c>
      <c r="AR249" s="20">
        <f t="shared" si="11"/>
        <v>1</v>
      </c>
      <c r="AS249" s="86">
        <f t="shared" si="12"/>
        <v>11098.16</v>
      </c>
      <c r="AT249" s="87">
        <f t="shared" si="13"/>
        <v>38003.82</v>
      </c>
      <c r="AU249" s="88">
        <f t="shared" si="81"/>
        <v>6.466666667</v>
      </c>
      <c r="AV249" s="89" t="str">
        <f t="shared" si="15"/>
        <v>#VALUE!</v>
      </c>
      <c r="AW249" s="90" t="str">
        <f t="shared" si="16"/>
        <v>#VALUE!</v>
      </c>
      <c r="AY249" s="85">
        <f t="shared" si="17"/>
        <v>0</v>
      </c>
      <c r="AZ249" s="20">
        <f t="shared" si="18"/>
        <v>1</v>
      </c>
      <c r="BA249" s="20">
        <f t="shared" si="19"/>
        <v>0</v>
      </c>
      <c r="BB249" s="91">
        <f t="shared" si="20"/>
        <v>0</v>
      </c>
      <c r="BC249" s="87">
        <f t="shared" si="21"/>
        <v>0</v>
      </c>
      <c r="BD249" s="92">
        <f t="shared" si="22"/>
        <v>0</v>
      </c>
      <c r="BE249" s="89" t="str">
        <f t="shared" si="23"/>
        <v>#VALUE!</v>
      </c>
      <c r="BF249" s="90">
        <f t="shared" si="24"/>
        <v>0</v>
      </c>
      <c r="BH249" s="93">
        <f t="shared" si="25"/>
        <v>38003.82</v>
      </c>
      <c r="BI249" s="94">
        <f t="shared" si="26"/>
        <v>1</v>
      </c>
      <c r="BJ249" s="95" t="str">
        <f t="shared" si="27"/>
        <v>#VALUE!</v>
      </c>
      <c r="BK249" s="96" t="str">
        <f t="shared" si="28"/>
        <v>#VALUE!</v>
      </c>
      <c r="BM249" s="97">
        <f t="shared" si="29"/>
        <v>1</v>
      </c>
    </row>
    <row r="250" ht="12.75" customHeight="1">
      <c r="A250" s="65"/>
      <c r="B250" s="66" t="s">
        <v>510</v>
      </c>
      <c r="C250" s="67">
        <v>40000.0</v>
      </c>
      <c r="D250" s="68">
        <v>13.0</v>
      </c>
      <c r="E250" s="67">
        <v>32570.67</v>
      </c>
      <c r="F250" s="68" t="s">
        <v>56</v>
      </c>
      <c r="G250" s="69">
        <v>45290.0</v>
      </c>
      <c r="H250" s="70" t="s">
        <v>57</v>
      </c>
      <c r="I250" s="100">
        <v>45563.0</v>
      </c>
      <c r="J250" s="71">
        <f t="shared" si="99"/>
        <v>9.1</v>
      </c>
      <c r="K250" s="98" t="s">
        <v>511</v>
      </c>
      <c r="L250" s="98">
        <v>40000.0</v>
      </c>
      <c r="M250" s="73">
        <v>189.85999999999999</v>
      </c>
      <c r="N250" s="107">
        <v>12453.480000000001</v>
      </c>
      <c r="O250" s="101">
        <v>3547.2</v>
      </c>
      <c r="P250" s="73">
        <f t="shared" si="70"/>
        <v>0</v>
      </c>
      <c r="Q250" s="73">
        <f t="shared" si="71"/>
        <v>8761.21</v>
      </c>
      <c r="R250" s="74">
        <f t="shared" si="72"/>
        <v>0.2689907822</v>
      </c>
      <c r="S250" s="74">
        <f t="shared" si="73"/>
        <v>0.7310092178</v>
      </c>
      <c r="T250" s="75"/>
      <c r="V250" s="76"/>
      <c r="W250" s="77"/>
      <c r="X250" s="77"/>
      <c r="Y250" s="77"/>
      <c r="Z250" s="77"/>
      <c r="AA250" s="77"/>
      <c r="AB250" s="78"/>
      <c r="AC250" s="77"/>
      <c r="AD250" s="79"/>
      <c r="AE250" s="80"/>
      <c r="AF250" s="81"/>
      <c r="AG250" s="79"/>
      <c r="AH250" s="80"/>
      <c r="AI250" s="82"/>
      <c r="AJ250" s="82"/>
      <c r="AK250" s="83"/>
      <c r="AL250" s="84"/>
      <c r="AP250" s="85">
        <f t="shared" si="9"/>
        <v>1</v>
      </c>
      <c r="AQ250" s="20">
        <f t="shared" si="10"/>
        <v>1</v>
      </c>
      <c r="AR250" s="20">
        <f t="shared" si="11"/>
        <v>1</v>
      </c>
      <c r="AS250" s="86">
        <f t="shared" si="12"/>
        <v>16000.68</v>
      </c>
      <c r="AT250" s="87">
        <f t="shared" si="13"/>
        <v>32570.67</v>
      </c>
      <c r="AU250" s="88">
        <f t="shared" si="81"/>
        <v>9.1</v>
      </c>
      <c r="AV250" s="89" t="str">
        <f t="shared" si="15"/>
        <v>#VALUE!</v>
      </c>
      <c r="AW250" s="90" t="str">
        <f t="shared" si="16"/>
        <v>#VALUE!</v>
      </c>
      <c r="AY250" s="85">
        <f t="shared" si="17"/>
        <v>0</v>
      </c>
      <c r="AZ250" s="20">
        <f t="shared" si="18"/>
        <v>1</v>
      </c>
      <c r="BA250" s="20">
        <f t="shared" si="19"/>
        <v>0</v>
      </c>
      <c r="BB250" s="91">
        <f t="shared" si="20"/>
        <v>0</v>
      </c>
      <c r="BC250" s="87">
        <f t="shared" si="21"/>
        <v>0</v>
      </c>
      <c r="BD250" s="92">
        <f t="shared" si="22"/>
        <v>0</v>
      </c>
      <c r="BE250" s="89" t="str">
        <f t="shared" si="23"/>
        <v>#VALUE!</v>
      </c>
      <c r="BF250" s="90">
        <f t="shared" si="24"/>
        <v>0</v>
      </c>
      <c r="BH250" s="93">
        <f t="shared" si="25"/>
        <v>32570.67</v>
      </c>
      <c r="BI250" s="94">
        <f t="shared" si="26"/>
        <v>1</v>
      </c>
      <c r="BJ250" s="95" t="str">
        <f t="shared" si="27"/>
        <v>#VALUE!</v>
      </c>
      <c r="BK250" s="96" t="str">
        <f t="shared" si="28"/>
        <v>#VALUE!</v>
      </c>
      <c r="BM250" s="97">
        <f t="shared" si="29"/>
        <v>1</v>
      </c>
    </row>
    <row r="251" ht="12.75" customHeight="1">
      <c r="A251" s="65"/>
      <c r="B251" s="66" t="s">
        <v>512</v>
      </c>
      <c r="C251" s="67">
        <v>27215.65</v>
      </c>
      <c r="D251" s="68">
        <v>13.0</v>
      </c>
      <c r="E251" s="67">
        <v>24328.93</v>
      </c>
      <c r="F251" s="68" t="s">
        <v>56</v>
      </c>
      <c r="G251" s="69">
        <v>44663.0</v>
      </c>
      <c r="H251" s="71" t="s">
        <v>57</v>
      </c>
      <c r="I251" s="69">
        <v>45014.0</v>
      </c>
      <c r="J251" s="71">
        <f t="shared" si="99"/>
        <v>11.7</v>
      </c>
      <c r="K251" s="72" t="s">
        <v>513</v>
      </c>
      <c r="L251" s="72">
        <v>45000.0</v>
      </c>
      <c r="M251" s="73">
        <v>1928.84</v>
      </c>
      <c r="N251" s="73">
        <v>5408.4</v>
      </c>
      <c r="O251" s="73">
        <v>377.66</v>
      </c>
      <c r="P251" s="73">
        <f t="shared" si="70"/>
        <v>0</v>
      </c>
      <c r="Q251" s="73">
        <f t="shared" si="71"/>
        <v>0</v>
      </c>
      <c r="R251" s="74">
        <f t="shared" si="72"/>
        <v>0</v>
      </c>
      <c r="S251" s="74">
        <f t="shared" si="73"/>
        <v>1</v>
      </c>
      <c r="T251" s="75"/>
      <c r="V251" s="76">
        <v>277.5</v>
      </c>
      <c r="W251" s="77">
        <f>65.12+178.17</f>
        <v>243.29</v>
      </c>
      <c r="X251" s="77">
        <v>19.43</v>
      </c>
      <c r="Y251" s="77">
        <v>171.46</v>
      </c>
      <c r="Z251" s="77">
        <f>101.1+159.9+93.6+56.11+49.29</f>
        <v>460</v>
      </c>
      <c r="AA251" s="77">
        <f>3475.85+1334.46</f>
        <v>4810.31</v>
      </c>
      <c r="AB251" s="78">
        <f t="shared" ref="AB251:AB269" si="101">AA251+Z251+Y251+X251+V251+W251</f>
        <v>5981.99</v>
      </c>
      <c r="AC251" s="77">
        <v>17816.63</v>
      </c>
      <c r="AD251" s="79">
        <v>0.0675</v>
      </c>
      <c r="AE251" s="80">
        <f>((E251*AD251)/365)*180</f>
        <v>809.8534233</v>
      </c>
      <c r="AF251" s="81">
        <v>6512.3</v>
      </c>
      <c r="AG251" s="79">
        <v>0.07</v>
      </c>
      <c r="AH251" s="80">
        <f>((AF251*AG251)/365)*180</f>
        <v>224.8081644</v>
      </c>
      <c r="AI251" s="82">
        <f>AC251+AF251</f>
        <v>24328.93</v>
      </c>
      <c r="AJ251" s="82">
        <f t="shared" ref="AJ251:AJ269" si="102">AE251+AH251</f>
        <v>1034.661588</v>
      </c>
      <c r="AK251" s="83">
        <f t="shared" ref="AK251:AK252" si="103">IF(AJ251&lt;AA251,AJ251,AA251)</f>
        <v>1034.661588</v>
      </c>
      <c r="AL251" s="84">
        <f t="shared" ref="AL251:AL269" si="104">W251+X251+Y251+Z251+AK251</f>
        <v>1928.841588</v>
      </c>
      <c r="AP251" s="85">
        <f t="shared" si="9"/>
        <v>1</v>
      </c>
      <c r="AQ251" s="20">
        <f t="shared" si="10"/>
        <v>1</v>
      </c>
      <c r="AR251" s="20">
        <f t="shared" si="11"/>
        <v>1</v>
      </c>
      <c r="AS251" s="86">
        <f t="shared" si="12"/>
        <v>5786.06</v>
      </c>
      <c r="AT251" s="87">
        <f t="shared" si="13"/>
        <v>24328.93</v>
      </c>
      <c r="AU251" s="88">
        <f t="shared" si="81"/>
        <v>11.7</v>
      </c>
      <c r="AV251" s="89" t="str">
        <f t="shared" si="15"/>
        <v>#VALUE!</v>
      </c>
      <c r="AW251" s="90" t="str">
        <f t="shared" si="16"/>
        <v>#VALUE!</v>
      </c>
      <c r="AY251" s="85">
        <f t="shared" si="17"/>
        <v>0</v>
      </c>
      <c r="AZ251" s="20">
        <f t="shared" si="18"/>
        <v>1</v>
      </c>
      <c r="BA251" s="20">
        <f t="shared" si="19"/>
        <v>0</v>
      </c>
      <c r="BB251" s="91">
        <f t="shared" si="20"/>
        <v>0</v>
      </c>
      <c r="BC251" s="87">
        <f t="shared" si="21"/>
        <v>0</v>
      </c>
      <c r="BD251" s="92">
        <f t="shared" si="22"/>
        <v>0</v>
      </c>
      <c r="BE251" s="89" t="str">
        <f t="shared" si="23"/>
        <v>#VALUE!</v>
      </c>
      <c r="BF251" s="90">
        <f t="shared" si="24"/>
        <v>0</v>
      </c>
      <c r="BH251" s="93">
        <f t="shared" si="25"/>
        <v>24328.93</v>
      </c>
      <c r="BI251" s="94">
        <f t="shared" si="26"/>
        <v>1</v>
      </c>
      <c r="BJ251" s="95" t="str">
        <f t="shared" si="27"/>
        <v>#VALUE!</v>
      </c>
      <c r="BK251" s="96" t="str">
        <f t="shared" si="28"/>
        <v>#VALUE!</v>
      </c>
      <c r="BM251" s="97">
        <f t="shared" si="29"/>
        <v>1</v>
      </c>
    </row>
    <row r="252" ht="12.75" customHeight="1">
      <c r="A252" s="65"/>
      <c r="B252" s="66" t="s">
        <v>514</v>
      </c>
      <c r="C252" s="106">
        <v>39600.0</v>
      </c>
      <c r="D252" s="68">
        <v>13.0</v>
      </c>
      <c r="E252" s="67">
        <v>30445.08</v>
      </c>
      <c r="F252" s="68" t="s">
        <v>56</v>
      </c>
      <c r="G252" s="69">
        <v>44635.0</v>
      </c>
      <c r="H252" s="71" t="s">
        <v>57</v>
      </c>
      <c r="I252" s="69">
        <v>45471.0</v>
      </c>
      <c r="J252" s="71">
        <f t="shared" si="99"/>
        <v>27.86666667</v>
      </c>
      <c r="K252" s="98" t="s">
        <v>515</v>
      </c>
      <c r="L252" s="72">
        <v>38000.0</v>
      </c>
      <c r="M252" s="73">
        <v>1435.25</v>
      </c>
      <c r="N252" s="73">
        <v>8989.28</v>
      </c>
      <c r="O252" s="73">
        <v>3930.91</v>
      </c>
      <c r="P252" s="73">
        <f t="shared" si="70"/>
        <v>0</v>
      </c>
      <c r="Q252" s="73">
        <f t="shared" si="71"/>
        <v>6800.52</v>
      </c>
      <c r="R252" s="74">
        <f t="shared" si="72"/>
        <v>0.2233700815</v>
      </c>
      <c r="S252" s="74">
        <f t="shared" si="73"/>
        <v>0.7766299185</v>
      </c>
      <c r="T252" s="75"/>
      <c r="V252" s="76"/>
      <c r="W252" s="77"/>
      <c r="X252" s="77"/>
      <c r="Y252" s="77"/>
      <c r="Z252" s="77"/>
      <c r="AA252" s="77"/>
      <c r="AB252" s="78">
        <f t="shared" si="101"/>
        <v>0</v>
      </c>
      <c r="AC252" s="77"/>
      <c r="AD252" s="79"/>
      <c r="AE252" s="80"/>
      <c r="AF252" s="81"/>
      <c r="AG252" s="79"/>
      <c r="AH252" s="80"/>
      <c r="AI252" s="82"/>
      <c r="AJ252" s="82">
        <f t="shared" si="102"/>
        <v>0</v>
      </c>
      <c r="AK252" s="83" t="str">
        <f t="shared" si="103"/>
        <v/>
      </c>
      <c r="AL252" s="84">
        <f t="shared" si="104"/>
        <v>0</v>
      </c>
      <c r="AP252" s="85">
        <f t="shared" si="9"/>
        <v>1</v>
      </c>
      <c r="AQ252" s="20">
        <f t="shared" si="10"/>
        <v>1</v>
      </c>
      <c r="AR252" s="20">
        <f t="shared" si="11"/>
        <v>1</v>
      </c>
      <c r="AS252" s="86">
        <f t="shared" si="12"/>
        <v>12920.19</v>
      </c>
      <c r="AT252" s="87">
        <f t="shared" si="13"/>
        <v>30445.08</v>
      </c>
      <c r="AU252" s="88">
        <f t="shared" si="81"/>
        <v>27.86666667</v>
      </c>
      <c r="AV252" s="89" t="str">
        <f t="shared" si="15"/>
        <v>#VALUE!</v>
      </c>
      <c r="AW252" s="90" t="str">
        <f t="shared" si="16"/>
        <v>#VALUE!</v>
      </c>
      <c r="AY252" s="85">
        <f t="shared" si="17"/>
        <v>0</v>
      </c>
      <c r="AZ252" s="20">
        <f t="shared" si="18"/>
        <v>1</v>
      </c>
      <c r="BA252" s="20">
        <f t="shared" si="19"/>
        <v>0</v>
      </c>
      <c r="BB252" s="91">
        <f t="shared" si="20"/>
        <v>0</v>
      </c>
      <c r="BC252" s="87">
        <f t="shared" si="21"/>
        <v>0</v>
      </c>
      <c r="BD252" s="92">
        <f t="shared" si="22"/>
        <v>0</v>
      </c>
      <c r="BE252" s="89" t="str">
        <f t="shared" si="23"/>
        <v>#VALUE!</v>
      </c>
      <c r="BF252" s="90">
        <f t="shared" si="24"/>
        <v>0</v>
      </c>
      <c r="BH252" s="93">
        <f t="shared" si="25"/>
        <v>30445.08</v>
      </c>
      <c r="BI252" s="94">
        <f t="shared" si="26"/>
        <v>1</v>
      </c>
      <c r="BJ252" s="95" t="str">
        <f t="shared" si="27"/>
        <v>#VALUE!</v>
      </c>
      <c r="BK252" s="96" t="str">
        <f t="shared" si="28"/>
        <v>#VALUE!</v>
      </c>
      <c r="BM252" s="97">
        <f t="shared" si="29"/>
        <v>1</v>
      </c>
    </row>
    <row r="253" ht="12.75" customHeight="1">
      <c r="A253" s="65"/>
      <c r="B253" s="66" t="s">
        <v>516</v>
      </c>
      <c r="C253" s="67">
        <v>17000.0</v>
      </c>
      <c r="D253" s="68">
        <v>12.0</v>
      </c>
      <c r="E253" s="67">
        <v>9504.95</v>
      </c>
      <c r="F253" s="68" t="s">
        <v>56</v>
      </c>
      <c r="G253" s="69">
        <v>44711.0</v>
      </c>
      <c r="H253" s="71" t="s">
        <v>57</v>
      </c>
      <c r="I253" s="69">
        <v>44925.0</v>
      </c>
      <c r="J253" s="71">
        <f t="shared" si="99"/>
        <v>7.133333333</v>
      </c>
      <c r="K253" s="72" t="s">
        <v>517</v>
      </c>
      <c r="L253" s="72">
        <v>30000.0</v>
      </c>
      <c r="M253" s="73">
        <v>2301.7</v>
      </c>
      <c r="N253" s="73">
        <v>4130.26</v>
      </c>
      <c r="O253" s="73">
        <v>2724.63</v>
      </c>
      <c r="P253" s="73">
        <f t="shared" si="70"/>
        <v>0</v>
      </c>
      <c r="Q253" s="73">
        <f t="shared" si="71"/>
        <v>0</v>
      </c>
      <c r="R253" s="74">
        <f t="shared" si="72"/>
        <v>0</v>
      </c>
      <c r="S253" s="74">
        <f t="shared" si="73"/>
        <v>1</v>
      </c>
      <c r="T253" s="75"/>
      <c r="V253" s="76">
        <v>297.0</v>
      </c>
      <c r="W253" s="77"/>
      <c r="X253" s="77">
        <v>20.79</v>
      </c>
      <c r="Y253" s="77"/>
      <c r="Z253" s="77">
        <f>81.36+297+1902.55</f>
        <v>2280.91</v>
      </c>
      <c r="AA253" s="77">
        <v>1902.55</v>
      </c>
      <c r="AB253" s="78">
        <f t="shared" si="101"/>
        <v>4501.25</v>
      </c>
      <c r="AC253" s="77"/>
      <c r="AD253" s="79">
        <v>0.065</v>
      </c>
      <c r="AE253" s="80">
        <f t="shared" ref="AE253:AE258" si="105">((E253*AD253)/365)*180</f>
        <v>304.6792192</v>
      </c>
      <c r="AF253" s="81"/>
      <c r="AG253" s="79"/>
      <c r="AH253" s="80"/>
      <c r="AI253" s="82"/>
      <c r="AJ253" s="82">
        <f t="shared" si="102"/>
        <v>304.6792192</v>
      </c>
      <c r="AK253" s="83"/>
      <c r="AL253" s="84">
        <f t="shared" si="104"/>
        <v>2301.7</v>
      </c>
      <c r="AP253" s="85">
        <f t="shared" si="9"/>
        <v>1</v>
      </c>
      <c r="AQ253" s="20">
        <f t="shared" si="10"/>
        <v>1</v>
      </c>
      <c r="AR253" s="20">
        <f t="shared" si="11"/>
        <v>1</v>
      </c>
      <c r="AS253" s="86">
        <f t="shared" si="12"/>
        <v>6854.89</v>
      </c>
      <c r="AT253" s="87">
        <f t="shared" si="13"/>
        <v>9504.95</v>
      </c>
      <c r="AU253" s="88">
        <f t="shared" si="81"/>
        <v>7.133333333</v>
      </c>
      <c r="AV253" s="89" t="str">
        <f t="shared" si="15"/>
        <v>#VALUE!</v>
      </c>
      <c r="AW253" s="90" t="str">
        <f t="shared" si="16"/>
        <v>#VALUE!</v>
      </c>
      <c r="AY253" s="85">
        <f t="shared" si="17"/>
        <v>0</v>
      </c>
      <c r="AZ253" s="20">
        <f t="shared" si="18"/>
        <v>1</v>
      </c>
      <c r="BA253" s="20">
        <f t="shared" si="19"/>
        <v>0</v>
      </c>
      <c r="BB253" s="91">
        <f t="shared" si="20"/>
        <v>0</v>
      </c>
      <c r="BC253" s="87">
        <f t="shared" si="21"/>
        <v>0</v>
      </c>
      <c r="BD253" s="92">
        <f t="shared" si="22"/>
        <v>0</v>
      </c>
      <c r="BE253" s="89" t="str">
        <f t="shared" si="23"/>
        <v>#VALUE!</v>
      </c>
      <c r="BF253" s="90">
        <f t="shared" si="24"/>
        <v>0</v>
      </c>
      <c r="BH253" s="93">
        <f t="shared" si="25"/>
        <v>9504.95</v>
      </c>
      <c r="BI253" s="94">
        <f t="shared" si="26"/>
        <v>1</v>
      </c>
      <c r="BJ253" s="95" t="str">
        <f t="shared" si="27"/>
        <v>#VALUE!</v>
      </c>
      <c r="BK253" s="96" t="str">
        <f t="shared" si="28"/>
        <v>#VALUE!</v>
      </c>
      <c r="BM253" s="97">
        <f t="shared" si="29"/>
        <v>1</v>
      </c>
    </row>
    <row r="254" ht="12.75" customHeight="1">
      <c r="A254" s="65"/>
      <c r="B254" s="66" t="s">
        <v>518</v>
      </c>
      <c r="C254" s="67">
        <v>30350.0</v>
      </c>
      <c r="D254" s="68">
        <v>13.0</v>
      </c>
      <c r="E254" s="67">
        <v>40068.86</v>
      </c>
      <c r="F254" s="68" t="s">
        <v>56</v>
      </c>
      <c r="G254" s="69">
        <v>44702.0</v>
      </c>
      <c r="H254" s="71" t="s">
        <v>57</v>
      </c>
      <c r="I254" s="69">
        <v>44703.0</v>
      </c>
      <c r="J254" s="71">
        <f t="shared" si="99"/>
        <v>0.03333333333</v>
      </c>
      <c r="K254" s="98" t="s">
        <v>519</v>
      </c>
      <c r="L254" s="72">
        <v>49500.0</v>
      </c>
      <c r="M254" s="73">
        <v>759.88</v>
      </c>
      <c r="N254" s="73">
        <v>7973.0</v>
      </c>
      <c r="O254" s="73">
        <v>1220.0</v>
      </c>
      <c r="P254" s="73">
        <f t="shared" si="70"/>
        <v>0</v>
      </c>
      <c r="Q254" s="73">
        <f t="shared" si="71"/>
        <v>521.74</v>
      </c>
      <c r="R254" s="74">
        <f t="shared" si="72"/>
        <v>0.0130210842</v>
      </c>
      <c r="S254" s="74">
        <f t="shared" si="73"/>
        <v>0.9869789158</v>
      </c>
      <c r="T254" s="75"/>
      <c r="V254" s="76">
        <v>321.12</v>
      </c>
      <c r="W254" s="77"/>
      <c r="X254" s="77">
        <v>22.48</v>
      </c>
      <c r="Y254" s="77"/>
      <c r="Z254" s="77">
        <f>132.48+114.84+456.96</f>
        <v>704.28</v>
      </c>
      <c r="AA254" s="77">
        <v>203.51</v>
      </c>
      <c r="AB254" s="78">
        <f t="shared" si="101"/>
        <v>1251.39</v>
      </c>
      <c r="AC254" s="77"/>
      <c r="AD254" s="79">
        <v>0.0025</v>
      </c>
      <c r="AE254" s="80">
        <f t="shared" si="105"/>
        <v>49.39996438</v>
      </c>
      <c r="AF254" s="81"/>
      <c r="AG254" s="79"/>
      <c r="AH254" s="80">
        <f t="shared" ref="AH254:AH258" si="106">((E254*AG254)/365)*180</f>
        <v>0</v>
      </c>
      <c r="AI254" s="82">
        <f t="shared" ref="AI254:AI259" si="107">AC254+AF254</f>
        <v>0</v>
      </c>
      <c r="AJ254" s="82">
        <f t="shared" si="102"/>
        <v>49.39996438</v>
      </c>
      <c r="AK254" s="83">
        <f t="shared" ref="AK254:AK266" si="108">IF(AJ254&lt;AA254,AJ254,AA254)</f>
        <v>49.39996438</v>
      </c>
      <c r="AL254" s="84">
        <f t="shared" si="104"/>
        <v>776.1599644</v>
      </c>
      <c r="AP254" s="85">
        <f t="shared" si="9"/>
        <v>1</v>
      </c>
      <c r="AQ254" s="20">
        <f t="shared" si="10"/>
        <v>1</v>
      </c>
      <c r="AR254" s="20">
        <f t="shared" si="11"/>
        <v>1</v>
      </c>
      <c r="AS254" s="86">
        <f t="shared" si="12"/>
        <v>9193</v>
      </c>
      <c r="AT254" s="87">
        <f t="shared" si="13"/>
        <v>40068.86</v>
      </c>
      <c r="AU254" s="88">
        <f t="shared" si="81"/>
        <v>0.03333333333</v>
      </c>
      <c r="AV254" s="89" t="str">
        <f t="shared" si="15"/>
        <v>#VALUE!</v>
      </c>
      <c r="AW254" s="90" t="str">
        <f t="shared" si="16"/>
        <v>#VALUE!</v>
      </c>
      <c r="AY254" s="85">
        <f t="shared" si="17"/>
        <v>0</v>
      </c>
      <c r="AZ254" s="20">
        <f t="shared" si="18"/>
        <v>1</v>
      </c>
      <c r="BA254" s="20">
        <f t="shared" si="19"/>
        <v>0</v>
      </c>
      <c r="BB254" s="91">
        <f t="shared" si="20"/>
        <v>0</v>
      </c>
      <c r="BC254" s="87">
        <f t="shared" si="21"/>
        <v>0</v>
      </c>
      <c r="BD254" s="92">
        <f t="shared" si="22"/>
        <v>0</v>
      </c>
      <c r="BE254" s="89" t="str">
        <f t="shared" si="23"/>
        <v>#VALUE!</v>
      </c>
      <c r="BF254" s="90">
        <f t="shared" si="24"/>
        <v>0</v>
      </c>
      <c r="BH254" s="93">
        <f t="shared" si="25"/>
        <v>40068.86</v>
      </c>
      <c r="BI254" s="94">
        <f t="shared" si="26"/>
        <v>1</v>
      </c>
      <c r="BJ254" s="95" t="str">
        <f t="shared" si="27"/>
        <v>#VALUE!</v>
      </c>
      <c r="BK254" s="96" t="str">
        <f t="shared" si="28"/>
        <v>#VALUE!</v>
      </c>
      <c r="BM254" s="97">
        <f t="shared" si="29"/>
        <v>1</v>
      </c>
    </row>
    <row r="255" ht="12.75" customHeight="1">
      <c r="A255" s="65"/>
      <c r="B255" s="66" t="s">
        <v>520</v>
      </c>
      <c r="C255" s="67">
        <v>41926.5</v>
      </c>
      <c r="D255" s="68">
        <v>13.0</v>
      </c>
      <c r="E255" s="67">
        <v>36854.43</v>
      </c>
      <c r="F255" s="68" t="s">
        <v>56</v>
      </c>
      <c r="G255" s="69">
        <v>44690.0</v>
      </c>
      <c r="H255" s="71" t="s">
        <v>57</v>
      </c>
      <c r="I255" s="69">
        <v>44783.0</v>
      </c>
      <c r="J255" s="71">
        <f t="shared" si="99"/>
        <v>3.1</v>
      </c>
      <c r="K255" s="72" t="s">
        <v>521</v>
      </c>
      <c r="L255" s="72">
        <v>51000.0</v>
      </c>
      <c r="M255" s="73">
        <v>710.15</v>
      </c>
      <c r="N255" s="73">
        <v>6245.5599999999995</v>
      </c>
      <c r="O255" s="73">
        <v>2000.0</v>
      </c>
      <c r="P255" s="73">
        <f t="shared" si="70"/>
        <v>0</v>
      </c>
      <c r="Q255" s="73">
        <f t="shared" si="71"/>
        <v>0</v>
      </c>
      <c r="R255" s="74">
        <f t="shared" si="72"/>
        <v>0</v>
      </c>
      <c r="S255" s="74">
        <f t="shared" si="73"/>
        <v>1</v>
      </c>
      <c r="T255" s="75"/>
      <c r="V255" s="76">
        <v>360.0</v>
      </c>
      <c r="W255" s="77"/>
      <c r="X255" s="77">
        <v>50.17</v>
      </c>
      <c r="Y255" s="77"/>
      <c r="Z255" s="77">
        <f>202.68+184.68</f>
        <v>387.36</v>
      </c>
      <c r="AA255" s="77">
        <v>1638.76</v>
      </c>
      <c r="AB255" s="78">
        <f t="shared" si="101"/>
        <v>2436.29</v>
      </c>
      <c r="AC255" s="77"/>
      <c r="AD255" s="79">
        <v>0.015</v>
      </c>
      <c r="AE255" s="80">
        <f t="shared" si="105"/>
        <v>272.621811</v>
      </c>
      <c r="AF255" s="81"/>
      <c r="AG255" s="79"/>
      <c r="AH255" s="80">
        <f t="shared" si="106"/>
        <v>0</v>
      </c>
      <c r="AI255" s="82">
        <f t="shared" si="107"/>
        <v>0</v>
      </c>
      <c r="AJ255" s="82">
        <f t="shared" si="102"/>
        <v>272.621811</v>
      </c>
      <c r="AK255" s="83">
        <f t="shared" si="108"/>
        <v>272.621811</v>
      </c>
      <c r="AL255" s="84">
        <f t="shared" si="104"/>
        <v>710.151811</v>
      </c>
      <c r="AP255" s="85">
        <f t="shared" si="9"/>
        <v>1</v>
      </c>
      <c r="AQ255" s="20">
        <f t="shared" si="10"/>
        <v>1</v>
      </c>
      <c r="AR255" s="20">
        <f t="shared" si="11"/>
        <v>1</v>
      </c>
      <c r="AS255" s="86">
        <f t="shared" si="12"/>
        <v>8245.56</v>
      </c>
      <c r="AT255" s="87">
        <f t="shared" si="13"/>
        <v>36854.43</v>
      </c>
      <c r="AU255" s="88">
        <f t="shared" si="81"/>
        <v>3.1</v>
      </c>
      <c r="AV255" s="89" t="str">
        <f t="shared" si="15"/>
        <v>#VALUE!</v>
      </c>
      <c r="AW255" s="90" t="str">
        <f t="shared" si="16"/>
        <v>#VALUE!</v>
      </c>
      <c r="AY255" s="85">
        <f t="shared" si="17"/>
        <v>0</v>
      </c>
      <c r="AZ255" s="20">
        <f t="shared" si="18"/>
        <v>1</v>
      </c>
      <c r="BA255" s="20">
        <f t="shared" si="19"/>
        <v>0</v>
      </c>
      <c r="BB255" s="91">
        <f t="shared" si="20"/>
        <v>0</v>
      </c>
      <c r="BC255" s="87">
        <f t="shared" si="21"/>
        <v>0</v>
      </c>
      <c r="BD255" s="92">
        <f t="shared" si="22"/>
        <v>0</v>
      </c>
      <c r="BE255" s="89" t="str">
        <f t="shared" si="23"/>
        <v>#VALUE!</v>
      </c>
      <c r="BF255" s="90">
        <f t="shared" si="24"/>
        <v>0</v>
      </c>
      <c r="BH255" s="93">
        <f t="shared" si="25"/>
        <v>36854.43</v>
      </c>
      <c r="BI255" s="94">
        <f t="shared" si="26"/>
        <v>1</v>
      </c>
      <c r="BJ255" s="95" t="str">
        <f t="shared" si="27"/>
        <v>#VALUE!</v>
      </c>
      <c r="BK255" s="96" t="str">
        <f t="shared" si="28"/>
        <v>#VALUE!</v>
      </c>
      <c r="BM255" s="97">
        <f t="shared" si="29"/>
        <v>1</v>
      </c>
    </row>
    <row r="256" ht="12.75" customHeight="1">
      <c r="A256" s="65"/>
      <c r="B256" s="66" t="s">
        <v>522</v>
      </c>
      <c r="C256" s="67">
        <v>58604.8</v>
      </c>
      <c r="D256" s="68">
        <v>13.0</v>
      </c>
      <c r="E256" s="67">
        <v>56297.63</v>
      </c>
      <c r="F256" s="68" t="s">
        <v>56</v>
      </c>
      <c r="G256" s="69">
        <v>44729.0</v>
      </c>
      <c r="H256" s="71" t="s">
        <v>57</v>
      </c>
      <c r="I256" s="69">
        <v>45225.0</v>
      </c>
      <c r="J256" s="71">
        <f t="shared" si="99"/>
        <v>16.53333333</v>
      </c>
      <c r="K256" s="98" t="s">
        <v>523</v>
      </c>
      <c r="L256" s="72">
        <v>65000.0</v>
      </c>
      <c r="M256" s="73">
        <v>1024.11</v>
      </c>
      <c r="N256" s="73">
        <v>4420.320000000001</v>
      </c>
      <c r="O256" s="73">
        <v>3478.68</v>
      </c>
      <c r="P256" s="73">
        <f t="shared" si="70"/>
        <v>0</v>
      </c>
      <c r="Q256" s="73">
        <f t="shared" si="71"/>
        <v>220.74</v>
      </c>
      <c r="R256" s="74">
        <f t="shared" si="72"/>
        <v>0.003920946583</v>
      </c>
      <c r="S256" s="74">
        <f t="shared" si="73"/>
        <v>0.9960790534</v>
      </c>
      <c r="T256" s="75"/>
      <c r="V256" s="76">
        <v>296.0</v>
      </c>
      <c r="W256" s="77"/>
      <c r="X256" s="77">
        <v>20.72</v>
      </c>
      <c r="Y256" s="77"/>
      <c r="Z256" s="77">
        <f>196.8+253.44+275.52</f>
        <v>725.76</v>
      </c>
      <c r="AA256" s="77">
        <f>1648.01</f>
        <v>1648.01</v>
      </c>
      <c r="AB256" s="78">
        <f t="shared" si="101"/>
        <v>2690.49</v>
      </c>
      <c r="AC256" s="77">
        <v>56297.63</v>
      </c>
      <c r="AD256" s="79">
        <v>0.01</v>
      </c>
      <c r="AE256" s="80">
        <f t="shared" si="105"/>
        <v>277.6321479</v>
      </c>
      <c r="AF256" s="81"/>
      <c r="AG256" s="79"/>
      <c r="AH256" s="80">
        <f t="shared" si="106"/>
        <v>0</v>
      </c>
      <c r="AI256" s="82">
        <f t="shared" si="107"/>
        <v>56297.63</v>
      </c>
      <c r="AJ256" s="82">
        <f t="shared" si="102"/>
        <v>277.6321479</v>
      </c>
      <c r="AK256" s="83">
        <f t="shared" si="108"/>
        <v>277.6321479</v>
      </c>
      <c r="AL256" s="84">
        <f t="shared" si="104"/>
        <v>1024.112148</v>
      </c>
      <c r="AP256" s="85">
        <f t="shared" si="9"/>
        <v>1</v>
      </c>
      <c r="AQ256" s="20">
        <f t="shared" si="10"/>
        <v>1</v>
      </c>
      <c r="AR256" s="20">
        <f t="shared" si="11"/>
        <v>1</v>
      </c>
      <c r="AS256" s="86">
        <f t="shared" si="12"/>
        <v>7899</v>
      </c>
      <c r="AT256" s="87">
        <f t="shared" si="13"/>
        <v>56297.63</v>
      </c>
      <c r="AU256" s="88">
        <f t="shared" si="81"/>
        <v>16.53333333</v>
      </c>
      <c r="AV256" s="89" t="str">
        <f t="shared" si="15"/>
        <v>#VALUE!</v>
      </c>
      <c r="AW256" s="90" t="str">
        <f t="shared" si="16"/>
        <v>#VALUE!</v>
      </c>
      <c r="AY256" s="85">
        <f t="shared" si="17"/>
        <v>0</v>
      </c>
      <c r="AZ256" s="20">
        <f t="shared" si="18"/>
        <v>1</v>
      </c>
      <c r="BA256" s="20">
        <f t="shared" si="19"/>
        <v>0</v>
      </c>
      <c r="BB256" s="91">
        <f t="shared" si="20"/>
        <v>0</v>
      </c>
      <c r="BC256" s="87">
        <f t="shared" si="21"/>
        <v>0</v>
      </c>
      <c r="BD256" s="92">
        <f t="shared" si="22"/>
        <v>0</v>
      </c>
      <c r="BE256" s="89" t="str">
        <f t="shared" si="23"/>
        <v>#VALUE!</v>
      </c>
      <c r="BF256" s="90">
        <f t="shared" si="24"/>
        <v>0</v>
      </c>
      <c r="BH256" s="93">
        <f t="shared" si="25"/>
        <v>56297.63</v>
      </c>
      <c r="BI256" s="94">
        <f t="shared" si="26"/>
        <v>1</v>
      </c>
      <c r="BJ256" s="95" t="str">
        <f t="shared" si="27"/>
        <v>#VALUE!</v>
      </c>
      <c r="BK256" s="96" t="str">
        <f t="shared" si="28"/>
        <v>#VALUE!</v>
      </c>
      <c r="BM256" s="97">
        <f t="shared" si="29"/>
        <v>1</v>
      </c>
    </row>
    <row r="257" ht="12.75" customHeight="1">
      <c r="A257" s="65"/>
      <c r="B257" s="66" t="s">
        <v>524</v>
      </c>
      <c r="C257" s="67">
        <v>39995.0</v>
      </c>
      <c r="D257" s="68">
        <v>13.0</v>
      </c>
      <c r="E257" s="67">
        <v>33252.46</v>
      </c>
      <c r="F257" s="68" t="s">
        <v>56</v>
      </c>
      <c r="G257" s="69">
        <v>44764.0</v>
      </c>
      <c r="H257" s="71" t="s">
        <v>57</v>
      </c>
      <c r="I257" s="69">
        <v>44910.0</v>
      </c>
      <c r="J257" s="71">
        <f t="shared" si="99"/>
        <v>4.866666667</v>
      </c>
      <c r="K257" s="72" t="s">
        <v>525</v>
      </c>
      <c r="L257" s="72">
        <v>38500.0</v>
      </c>
      <c r="M257" s="73">
        <v>37.21</v>
      </c>
      <c r="N257" s="73">
        <v>10435.34</v>
      </c>
      <c r="O257" s="73">
        <v>3941.05</v>
      </c>
      <c r="P257" s="73">
        <f t="shared" si="70"/>
        <v>0</v>
      </c>
      <c r="Q257" s="73">
        <f t="shared" si="71"/>
        <v>9166.06</v>
      </c>
      <c r="R257" s="74">
        <f t="shared" si="72"/>
        <v>0.2756505834</v>
      </c>
      <c r="S257" s="74">
        <f t="shared" si="73"/>
        <v>0.7243494166</v>
      </c>
      <c r="T257" s="75"/>
      <c r="V257" s="76">
        <v>9.25</v>
      </c>
      <c r="W257" s="77"/>
      <c r="X257" s="77">
        <v>0.65</v>
      </c>
      <c r="Y257" s="77"/>
      <c r="Z257" s="77">
        <f>4.2+4.08+5.05</f>
        <v>13.33</v>
      </c>
      <c r="AA257" s="77">
        <v>23.23</v>
      </c>
      <c r="AB257" s="78">
        <f t="shared" si="101"/>
        <v>46.46</v>
      </c>
      <c r="AC257" s="77"/>
      <c r="AD257" s="79">
        <v>0.005</v>
      </c>
      <c r="AE257" s="80">
        <f t="shared" si="105"/>
        <v>81.99236712</v>
      </c>
      <c r="AF257" s="81"/>
      <c r="AG257" s="79"/>
      <c r="AH257" s="80">
        <f t="shared" si="106"/>
        <v>0</v>
      </c>
      <c r="AI257" s="82">
        <f t="shared" si="107"/>
        <v>0</v>
      </c>
      <c r="AJ257" s="82">
        <f t="shared" si="102"/>
        <v>81.99236712</v>
      </c>
      <c r="AK257" s="83">
        <f t="shared" si="108"/>
        <v>23.23</v>
      </c>
      <c r="AL257" s="84">
        <f t="shared" si="104"/>
        <v>37.21</v>
      </c>
      <c r="AP257" s="85">
        <f t="shared" si="9"/>
        <v>1</v>
      </c>
      <c r="AQ257" s="20">
        <f t="shared" si="10"/>
        <v>1</v>
      </c>
      <c r="AR257" s="20">
        <f t="shared" si="11"/>
        <v>1</v>
      </c>
      <c r="AS257" s="86">
        <f t="shared" si="12"/>
        <v>14376.39</v>
      </c>
      <c r="AT257" s="87">
        <f t="shared" si="13"/>
        <v>33252.46</v>
      </c>
      <c r="AU257" s="88">
        <f t="shared" si="81"/>
        <v>4.866666667</v>
      </c>
      <c r="AV257" s="89" t="str">
        <f t="shared" si="15"/>
        <v>#VALUE!</v>
      </c>
      <c r="AW257" s="90" t="str">
        <f t="shared" si="16"/>
        <v>#VALUE!</v>
      </c>
      <c r="AY257" s="85">
        <f t="shared" si="17"/>
        <v>0</v>
      </c>
      <c r="AZ257" s="20">
        <f t="shared" si="18"/>
        <v>1</v>
      </c>
      <c r="BA257" s="20">
        <f t="shared" si="19"/>
        <v>0</v>
      </c>
      <c r="BB257" s="91">
        <f t="shared" si="20"/>
        <v>0</v>
      </c>
      <c r="BC257" s="87">
        <f t="shared" si="21"/>
        <v>0</v>
      </c>
      <c r="BD257" s="92">
        <f t="shared" si="22"/>
        <v>0</v>
      </c>
      <c r="BE257" s="89" t="str">
        <f t="shared" si="23"/>
        <v>#VALUE!</v>
      </c>
      <c r="BF257" s="90">
        <f t="shared" si="24"/>
        <v>0</v>
      </c>
      <c r="BH257" s="93">
        <f t="shared" si="25"/>
        <v>33252.46</v>
      </c>
      <c r="BI257" s="94">
        <f t="shared" si="26"/>
        <v>1</v>
      </c>
      <c r="BJ257" s="95" t="str">
        <f t="shared" si="27"/>
        <v>#VALUE!</v>
      </c>
      <c r="BK257" s="96" t="str">
        <f t="shared" si="28"/>
        <v>#VALUE!</v>
      </c>
      <c r="BM257" s="97">
        <f t="shared" si="29"/>
        <v>1</v>
      </c>
    </row>
    <row r="258" ht="12.75" customHeight="1">
      <c r="A258" s="65"/>
      <c r="B258" s="66" t="s">
        <v>526</v>
      </c>
      <c r="C258" s="67">
        <v>26000.0</v>
      </c>
      <c r="D258" s="68">
        <v>13.0</v>
      </c>
      <c r="E258" s="67">
        <v>17241.87</v>
      </c>
      <c r="F258" s="68" t="s">
        <v>56</v>
      </c>
      <c r="G258" s="69">
        <v>44739.0</v>
      </c>
      <c r="H258" s="71" t="s">
        <v>57</v>
      </c>
      <c r="I258" s="69">
        <v>45008.0</v>
      </c>
      <c r="J258" s="71">
        <f t="shared" si="99"/>
        <v>8.966666667</v>
      </c>
      <c r="K258" s="72" t="s">
        <v>527</v>
      </c>
      <c r="L258" s="72">
        <v>42500.0</v>
      </c>
      <c r="M258" s="73">
        <v>1933.82</v>
      </c>
      <c r="N258" s="73">
        <v>3514.76</v>
      </c>
      <c r="O258" s="73">
        <v>3686.3</v>
      </c>
      <c r="P258" s="73">
        <f t="shared" si="70"/>
        <v>0</v>
      </c>
      <c r="Q258" s="73">
        <f t="shared" si="71"/>
        <v>0</v>
      </c>
      <c r="R258" s="74">
        <f t="shared" si="72"/>
        <v>0</v>
      </c>
      <c r="S258" s="74">
        <f t="shared" si="73"/>
        <v>1</v>
      </c>
      <c r="T258" s="75"/>
      <c r="V258" s="76">
        <v>305.25</v>
      </c>
      <c r="W258" s="77">
        <f>59.07+77.17</f>
        <v>136.24</v>
      </c>
      <c r="X258" s="77">
        <v>21.37</v>
      </c>
      <c r="Y258" s="77">
        <v>185.77</v>
      </c>
      <c r="Z258" s="77">
        <f>128.02+162.06+93.61+46.25+55.13</f>
        <v>485.07</v>
      </c>
      <c r="AA258" s="77">
        <v>2275.56</v>
      </c>
      <c r="AB258" s="78">
        <f t="shared" si="101"/>
        <v>3409.26</v>
      </c>
      <c r="AC258" s="77">
        <v>11362.41</v>
      </c>
      <c r="AD258" s="79">
        <v>0.06</v>
      </c>
      <c r="AE258" s="80">
        <f t="shared" si="105"/>
        <v>510.1704</v>
      </c>
      <c r="AF258" s="81">
        <v>5879.46</v>
      </c>
      <c r="AG258" s="79">
        <v>0.07</v>
      </c>
      <c r="AH258" s="80">
        <f t="shared" si="106"/>
        <v>595.1988</v>
      </c>
      <c r="AI258" s="82">
        <f t="shared" si="107"/>
        <v>17241.87</v>
      </c>
      <c r="AJ258" s="82">
        <f t="shared" si="102"/>
        <v>1105.3692</v>
      </c>
      <c r="AK258" s="83">
        <f t="shared" si="108"/>
        <v>1105.3692</v>
      </c>
      <c r="AL258" s="84">
        <f t="shared" si="104"/>
        <v>1933.8192</v>
      </c>
      <c r="AP258" s="85">
        <f t="shared" si="9"/>
        <v>1</v>
      </c>
      <c r="AQ258" s="20">
        <f t="shared" si="10"/>
        <v>1</v>
      </c>
      <c r="AR258" s="20">
        <f t="shared" si="11"/>
        <v>1</v>
      </c>
      <c r="AS258" s="86">
        <f t="shared" si="12"/>
        <v>7201.06</v>
      </c>
      <c r="AT258" s="87">
        <f t="shared" si="13"/>
        <v>17241.87</v>
      </c>
      <c r="AU258" s="88">
        <f t="shared" si="81"/>
        <v>8.966666667</v>
      </c>
      <c r="AV258" s="89" t="str">
        <f t="shared" si="15"/>
        <v>#VALUE!</v>
      </c>
      <c r="AW258" s="90" t="str">
        <f t="shared" si="16"/>
        <v>#VALUE!</v>
      </c>
      <c r="AY258" s="85">
        <f t="shared" si="17"/>
        <v>0</v>
      </c>
      <c r="AZ258" s="20">
        <f t="shared" si="18"/>
        <v>1</v>
      </c>
      <c r="BA258" s="20">
        <f t="shared" si="19"/>
        <v>0</v>
      </c>
      <c r="BB258" s="91">
        <f t="shared" si="20"/>
        <v>0</v>
      </c>
      <c r="BC258" s="87">
        <f t="shared" si="21"/>
        <v>0</v>
      </c>
      <c r="BD258" s="92">
        <f t="shared" si="22"/>
        <v>0</v>
      </c>
      <c r="BE258" s="89" t="str">
        <f t="shared" si="23"/>
        <v>#VALUE!</v>
      </c>
      <c r="BF258" s="90">
        <f t="shared" si="24"/>
        <v>0</v>
      </c>
      <c r="BH258" s="93">
        <f t="shared" si="25"/>
        <v>17241.87</v>
      </c>
      <c r="BI258" s="94">
        <f t="shared" si="26"/>
        <v>1</v>
      </c>
      <c r="BJ258" s="95" t="str">
        <f t="shared" si="27"/>
        <v>#VALUE!</v>
      </c>
      <c r="BK258" s="96" t="str">
        <f t="shared" si="28"/>
        <v>#VALUE!</v>
      </c>
      <c r="BM258" s="97">
        <f t="shared" si="29"/>
        <v>1</v>
      </c>
    </row>
    <row r="259" ht="12.75" customHeight="1">
      <c r="A259" s="65"/>
      <c r="B259" s="66" t="s">
        <v>528</v>
      </c>
      <c r="C259" s="67">
        <v>81000.0</v>
      </c>
      <c r="D259" s="68">
        <v>13.0</v>
      </c>
      <c r="E259" s="67">
        <v>71799.98</v>
      </c>
      <c r="F259" s="68" t="s">
        <v>56</v>
      </c>
      <c r="G259" s="69">
        <v>44774.0</v>
      </c>
      <c r="H259" s="71" t="s">
        <v>57</v>
      </c>
      <c r="I259" s="69">
        <v>44862.0</v>
      </c>
      <c r="J259" s="71">
        <f t="shared" si="99"/>
        <v>2.933333333</v>
      </c>
      <c r="K259" s="72" t="s">
        <v>529</v>
      </c>
      <c r="L259" s="72">
        <v>83000.0</v>
      </c>
      <c r="M259" s="73">
        <v>2439.98</v>
      </c>
      <c r="N259" s="73">
        <v>5011.04</v>
      </c>
      <c r="O259" s="73">
        <v>5067.34</v>
      </c>
      <c r="P259" s="73">
        <f t="shared" si="70"/>
        <v>0</v>
      </c>
      <c r="Q259" s="73">
        <f t="shared" si="71"/>
        <v>1318.34</v>
      </c>
      <c r="R259" s="74">
        <f t="shared" si="72"/>
        <v>0.01836128645</v>
      </c>
      <c r="S259" s="74">
        <f t="shared" si="73"/>
        <v>0.9816387135</v>
      </c>
      <c r="T259" s="75"/>
      <c r="V259" s="76">
        <v>277.5</v>
      </c>
      <c r="W259" s="77"/>
      <c r="X259" s="77">
        <v>19.43</v>
      </c>
      <c r="Y259" s="77"/>
      <c r="Z259" s="77">
        <f>255.3+96.9+120.9</f>
        <v>473.1</v>
      </c>
      <c r="AA259" s="77">
        <v>2296.01</v>
      </c>
      <c r="AB259" s="78">
        <f t="shared" si="101"/>
        <v>3066.04</v>
      </c>
      <c r="AC259" s="77">
        <v>15882.74</v>
      </c>
      <c r="AD259" s="79">
        <v>0.055</v>
      </c>
      <c r="AE259" s="80">
        <f t="shared" ref="AE259:AE260" si="109">((AC259*AD259)/365)*180</f>
        <v>430.792126</v>
      </c>
      <c r="AF259" s="81">
        <v>55917.24</v>
      </c>
      <c r="AG259" s="79">
        <v>0.055</v>
      </c>
      <c r="AH259" s="80">
        <f t="shared" ref="AH259:AH260" si="110">((AF259*AG259)/365)*180</f>
        <v>1516.659386</v>
      </c>
      <c r="AI259" s="82">
        <f t="shared" si="107"/>
        <v>71799.98</v>
      </c>
      <c r="AJ259" s="82">
        <f t="shared" si="102"/>
        <v>1947.451512</v>
      </c>
      <c r="AK259" s="83">
        <f t="shared" si="108"/>
        <v>1947.451512</v>
      </c>
      <c r="AL259" s="84">
        <f t="shared" si="104"/>
        <v>2439.981512</v>
      </c>
      <c r="AP259" s="85">
        <f t="shared" si="9"/>
        <v>1</v>
      </c>
      <c r="AQ259" s="20">
        <f t="shared" si="10"/>
        <v>1</v>
      </c>
      <c r="AR259" s="20">
        <f t="shared" si="11"/>
        <v>1</v>
      </c>
      <c r="AS259" s="86">
        <f t="shared" si="12"/>
        <v>10078.38</v>
      </c>
      <c r="AT259" s="87">
        <f t="shared" si="13"/>
        <v>71799.98</v>
      </c>
      <c r="AU259" s="88">
        <f t="shared" si="81"/>
        <v>2.933333333</v>
      </c>
      <c r="AV259" s="89" t="str">
        <f t="shared" si="15"/>
        <v>#VALUE!</v>
      </c>
      <c r="AW259" s="90" t="str">
        <f t="shared" si="16"/>
        <v>#VALUE!</v>
      </c>
      <c r="AY259" s="85">
        <f t="shared" si="17"/>
        <v>0</v>
      </c>
      <c r="AZ259" s="20">
        <f t="shared" si="18"/>
        <v>1</v>
      </c>
      <c r="BA259" s="20">
        <f t="shared" si="19"/>
        <v>0</v>
      </c>
      <c r="BB259" s="91">
        <f t="shared" si="20"/>
        <v>0</v>
      </c>
      <c r="BC259" s="87">
        <f t="shared" si="21"/>
        <v>0</v>
      </c>
      <c r="BD259" s="92">
        <f t="shared" si="22"/>
        <v>0</v>
      </c>
      <c r="BE259" s="89" t="str">
        <f t="shared" si="23"/>
        <v>#VALUE!</v>
      </c>
      <c r="BF259" s="90">
        <f t="shared" si="24"/>
        <v>0</v>
      </c>
      <c r="BH259" s="93">
        <f t="shared" si="25"/>
        <v>71799.98</v>
      </c>
      <c r="BI259" s="94">
        <f t="shared" si="26"/>
        <v>1</v>
      </c>
      <c r="BJ259" s="95" t="str">
        <f t="shared" si="27"/>
        <v>#VALUE!</v>
      </c>
      <c r="BK259" s="96" t="str">
        <f t="shared" si="28"/>
        <v>#VALUE!</v>
      </c>
      <c r="BM259" s="97">
        <f t="shared" si="29"/>
        <v>1</v>
      </c>
    </row>
    <row r="260" ht="12.75" customHeight="1">
      <c r="A260" s="65"/>
      <c r="B260" s="66" t="s">
        <v>530</v>
      </c>
      <c r="C260" s="67">
        <v>100000.0</v>
      </c>
      <c r="D260" s="68">
        <v>13.0</v>
      </c>
      <c r="E260" s="67">
        <v>81520.59</v>
      </c>
      <c r="F260" s="68" t="s">
        <v>56</v>
      </c>
      <c r="G260" s="69">
        <v>44769.0</v>
      </c>
      <c r="H260" s="70" t="s">
        <v>57</v>
      </c>
      <c r="I260" s="100">
        <v>45503.0</v>
      </c>
      <c r="J260" s="71">
        <f t="shared" si="99"/>
        <v>24.46666667</v>
      </c>
      <c r="K260" s="72" t="s">
        <v>531</v>
      </c>
      <c r="L260" s="98">
        <v>110000.0</v>
      </c>
      <c r="M260" s="73">
        <v>2815.61</v>
      </c>
      <c r="N260" s="73">
        <v>19112.74</v>
      </c>
      <c r="O260" s="101">
        <v>1800.0</v>
      </c>
      <c r="P260" s="73">
        <f t="shared" si="70"/>
        <v>0</v>
      </c>
      <c r="Q260" s="73">
        <f t="shared" si="71"/>
        <v>0</v>
      </c>
      <c r="R260" s="74">
        <f t="shared" si="72"/>
        <v>0</v>
      </c>
      <c r="S260" s="74">
        <f t="shared" si="73"/>
        <v>1</v>
      </c>
      <c r="T260" s="75"/>
      <c r="V260" s="102">
        <v>384.0</v>
      </c>
      <c r="W260" s="77"/>
      <c r="X260" s="103">
        <v>26.88</v>
      </c>
      <c r="Y260" s="77"/>
      <c r="Z260" s="77">
        <f>425.6+428.8+395.2+384</f>
        <v>1633.6</v>
      </c>
      <c r="AA260" s="103">
        <v>6376.14</v>
      </c>
      <c r="AB260" s="78">
        <f t="shared" si="101"/>
        <v>8420.62</v>
      </c>
      <c r="AC260" s="103">
        <v>19477.36</v>
      </c>
      <c r="AD260" s="104">
        <v>0.04</v>
      </c>
      <c r="AE260" s="80">
        <f t="shared" si="109"/>
        <v>384.210937</v>
      </c>
      <c r="AF260" s="105">
        <v>22332.09</v>
      </c>
      <c r="AG260" s="104">
        <v>0.07</v>
      </c>
      <c r="AH260" s="80">
        <f t="shared" si="110"/>
        <v>770.9159836</v>
      </c>
      <c r="AI260" s="108">
        <v>39711.14</v>
      </c>
      <c r="AJ260" s="82">
        <f t="shared" si="102"/>
        <v>1155.126921</v>
      </c>
      <c r="AK260" s="83">
        <f t="shared" si="108"/>
        <v>1155.126921</v>
      </c>
      <c r="AL260" s="84">
        <f t="shared" si="104"/>
        <v>2815.606921</v>
      </c>
      <c r="AP260" s="85">
        <f t="shared" si="9"/>
        <v>1</v>
      </c>
      <c r="AQ260" s="20">
        <f t="shared" si="10"/>
        <v>1</v>
      </c>
      <c r="AR260" s="20">
        <f t="shared" si="11"/>
        <v>1</v>
      </c>
      <c r="AS260" s="86">
        <f t="shared" si="12"/>
        <v>20912.74</v>
      </c>
      <c r="AT260" s="87">
        <f t="shared" si="13"/>
        <v>81520.59</v>
      </c>
      <c r="AU260" s="88">
        <f t="shared" si="81"/>
        <v>24.46666667</v>
      </c>
      <c r="AV260" s="89" t="str">
        <f t="shared" si="15"/>
        <v>#VALUE!</v>
      </c>
      <c r="AW260" s="90" t="str">
        <f t="shared" si="16"/>
        <v>#VALUE!</v>
      </c>
      <c r="AY260" s="85">
        <f t="shared" si="17"/>
        <v>0</v>
      </c>
      <c r="AZ260" s="20">
        <f t="shared" si="18"/>
        <v>1</v>
      </c>
      <c r="BA260" s="20">
        <f t="shared" si="19"/>
        <v>0</v>
      </c>
      <c r="BB260" s="91">
        <f t="shared" si="20"/>
        <v>0</v>
      </c>
      <c r="BC260" s="87">
        <f t="shared" si="21"/>
        <v>0</v>
      </c>
      <c r="BD260" s="92">
        <f t="shared" si="22"/>
        <v>0</v>
      </c>
      <c r="BE260" s="89" t="str">
        <f t="shared" si="23"/>
        <v>#VALUE!</v>
      </c>
      <c r="BF260" s="90">
        <f t="shared" si="24"/>
        <v>0</v>
      </c>
      <c r="BH260" s="93">
        <f t="shared" si="25"/>
        <v>81520.59</v>
      </c>
      <c r="BI260" s="94">
        <f t="shared" si="26"/>
        <v>1</v>
      </c>
      <c r="BJ260" s="95" t="str">
        <f t="shared" si="27"/>
        <v>#VALUE!</v>
      </c>
      <c r="BK260" s="96" t="str">
        <f t="shared" si="28"/>
        <v>#VALUE!</v>
      </c>
      <c r="BM260" s="97">
        <f t="shared" si="29"/>
        <v>1</v>
      </c>
    </row>
    <row r="261" ht="12.75" customHeight="1">
      <c r="A261" s="65"/>
      <c r="B261" s="66" t="s">
        <v>532</v>
      </c>
      <c r="C261" s="67">
        <v>39995.0</v>
      </c>
      <c r="D261" s="68">
        <v>13.0</v>
      </c>
      <c r="E261" s="67">
        <v>34858.04</v>
      </c>
      <c r="F261" s="68" t="s">
        <v>56</v>
      </c>
      <c r="G261" s="69">
        <v>44775.0</v>
      </c>
      <c r="H261" s="71" t="s">
        <v>57</v>
      </c>
      <c r="I261" s="69">
        <v>45043.0</v>
      </c>
      <c r="J261" s="71">
        <f t="shared" si="99"/>
        <v>8.933333333</v>
      </c>
      <c r="K261" s="72" t="s">
        <v>533</v>
      </c>
      <c r="L261" s="72">
        <v>50000.0</v>
      </c>
      <c r="M261" s="73">
        <v>31.55</v>
      </c>
      <c r="N261" s="73">
        <v>6314.43</v>
      </c>
      <c r="O261" s="73">
        <v>5230.0</v>
      </c>
      <c r="P261" s="73">
        <f t="shared" si="70"/>
        <v>0</v>
      </c>
      <c r="Q261" s="73">
        <f t="shared" si="71"/>
        <v>0</v>
      </c>
      <c r="R261" s="74">
        <f t="shared" si="72"/>
        <v>0</v>
      </c>
      <c r="S261" s="74">
        <f t="shared" si="73"/>
        <v>1</v>
      </c>
      <c r="T261" s="75"/>
      <c r="V261" s="76">
        <v>27.75</v>
      </c>
      <c r="W261" s="77"/>
      <c r="X261" s="77">
        <v>1.94</v>
      </c>
      <c r="Y261" s="77"/>
      <c r="Z261" s="77">
        <f>12.6+17.01</f>
        <v>29.61</v>
      </c>
      <c r="AA261" s="77"/>
      <c r="AB261" s="78">
        <f t="shared" si="101"/>
        <v>59.3</v>
      </c>
      <c r="AC261" s="77"/>
      <c r="AD261" s="79">
        <v>0.0</v>
      </c>
      <c r="AE261" s="80"/>
      <c r="AF261" s="81"/>
      <c r="AG261" s="79"/>
      <c r="AH261" s="80"/>
      <c r="AI261" s="82"/>
      <c r="AJ261" s="82">
        <f t="shared" si="102"/>
        <v>0</v>
      </c>
      <c r="AK261" s="83" t="str">
        <f t="shared" si="108"/>
        <v/>
      </c>
      <c r="AL261" s="84">
        <f t="shared" si="104"/>
        <v>31.55</v>
      </c>
      <c r="AP261" s="85">
        <f t="shared" si="9"/>
        <v>1</v>
      </c>
      <c r="AQ261" s="20">
        <f t="shared" si="10"/>
        <v>1</v>
      </c>
      <c r="AR261" s="20">
        <f t="shared" si="11"/>
        <v>1</v>
      </c>
      <c r="AS261" s="86">
        <f t="shared" si="12"/>
        <v>11544.43</v>
      </c>
      <c r="AT261" s="87">
        <f t="shared" si="13"/>
        <v>34858.04</v>
      </c>
      <c r="AU261" s="88">
        <f t="shared" si="81"/>
        <v>8.933333333</v>
      </c>
      <c r="AV261" s="89" t="str">
        <f t="shared" si="15"/>
        <v>#VALUE!</v>
      </c>
      <c r="AW261" s="90" t="str">
        <f t="shared" si="16"/>
        <v>#VALUE!</v>
      </c>
      <c r="AY261" s="85">
        <f t="shared" si="17"/>
        <v>0</v>
      </c>
      <c r="AZ261" s="20">
        <f t="shared" si="18"/>
        <v>1</v>
      </c>
      <c r="BA261" s="20">
        <f t="shared" si="19"/>
        <v>0</v>
      </c>
      <c r="BB261" s="91">
        <f t="shared" si="20"/>
        <v>0</v>
      </c>
      <c r="BC261" s="87">
        <f t="shared" si="21"/>
        <v>0</v>
      </c>
      <c r="BD261" s="92">
        <f t="shared" si="22"/>
        <v>0</v>
      </c>
      <c r="BE261" s="89" t="str">
        <f t="shared" si="23"/>
        <v>#VALUE!</v>
      </c>
      <c r="BF261" s="90">
        <f t="shared" si="24"/>
        <v>0</v>
      </c>
      <c r="BH261" s="93">
        <f t="shared" si="25"/>
        <v>34858.04</v>
      </c>
      <c r="BI261" s="94">
        <f t="shared" si="26"/>
        <v>1</v>
      </c>
      <c r="BJ261" s="95" t="str">
        <f t="shared" si="27"/>
        <v>#VALUE!</v>
      </c>
      <c r="BK261" s="96" t="str">
        <f t="shared" si="28"/>
        <v>#VALUE!</v>
      </c>
      <c r="BM261" s="97">
        <f t="shared" si="29"/>
        <v>1</v>
      </c>
    </row>
    <row r="262" ht="12.75" customHeight="1">
      <c r="A262" s="65"/>
      <c r="B262" s="66" t="s">
        <v>534</v>
      </c>
      <c r="C262" s="67">
        <v>42500.0</v>
      </c>
      <c r="D262" s="68">
        <v>13.0</v>
      </c>
      <c r="E262" s="67">
        <v>31700.1</v>
      </c>
      <c r="F262" s="68" t="s">
        <v>64</v>
      </c>
      <c r="G262" s="69">
        <v>44831.0</v>
      </c>
      <c r="H262" s="71" t="s">
        <v>57</v>
      </c>
      <c r="I262" s="69">
        <v>45106.0</v>
      </c>
      <c r="J262" s="71">
        <f t="shared" si="99"/>
        <v>9.166666667</v>
      </c>
      <c r="K262" s="72" t="s">
        <v>535</v>
      </c>
      <c r="L262" s="72">
        <v>54100.0</v>
      </c>
      <c r="M262" s="73">
        <v>1236.67</v>
      </c>
      <c r="N262" s="73">
        <v>4750.75</v>
      </c>
      <c r="O262" s="73">
        <v>4467.81</v>
      </c>
      <c r="P262" s="73">
        <f t="shared" si="70"/>
        <v>0</v>
      </c>
      <c r="Q262" s="73">
        <f t="shared" si="71"/>
        <v>0</v>
      </c>
      <c r="R262" s="74">
        <f t="shared" si="72"/>
        <v>0</v>
      </c>
      <c r="S262" s="74">
        <f t="shared" si="73"/>
        <v>1</v>
      </c>
      <c r="T262" s="75"/>
      <c r="V262" s="76">
        <v>72.25</v>
      </c>
      <c r="W262" s="77"/>
      <c r="X262" s="77">
        <v>5.06</v>
      </c>
      <c r="Y262" s="77"/>
      <c r="Z262" s="77">
        <f>96.05+89.93+57.12</f>
        <v>243.1</v>
      </c>
      <c r="AA262" s="77">
        <v>988.51</v>
      </c>
      <c r="AB262" s="78">
        <f t="shared" si="101"/>
        <v>1308.92</v>
      </c>
      <c r="AC262" s="77">
        <v>15629.55</v>
      </c>
      <c r="AD262" s="79">
        <v>0.0675</v>
      </c>
      <c r="AE262" s="80">
        <f t="shared" ref="AE262:AE265" si="111">((AC262*AD262)/365)*180</f>
        <v>520.2713219</v>
      </c>
      <c r="AF262" s="81">
        <v>16070.55</v>
      </c>
      <c r="AG262" s="79">
        <v>0.07</v>
      </c>
      <c r="AH262" s="80">
        <f t="shared" ref="AH262:AH264" si="112">((AF262*AG262)/365)*180</f>
        <v>554.7641918</v>
      </c>
      <c r="AI262" s="82">
        <f t="shared" ref="AI262:AI264" si="113">AC262+AF262</f>
        <v>31700.1</v>
      </c>
      <c r="AJ262" s="82">
        <f t="shared" si="102"/>
        <v>1075.035514</v>
      </c>
      <c r="AK262" s="83">
        <f t="shared" si="108"/>
        <v>988.51</v>
      </c>
      <c r="AL262" s="84">
        <f t="shared" si="104"/>
        <v>1236.67</v>
      </c>
      <c r="AP262" s="85">
        <f t="shared" si="9"/>
        <v>0</v>
      </c>
      <c r="AQ262" s="20">
        <f t="shared" si="10"/>
        <v>1</v>
      </c>
      <c r="AR262" s="20">
        <f t="shared" si="11"/>
        <v>0</v>
      </c>
      <c r="AS262" s="86">
        <f t="shared" si="12"/>
        <v>0</v>
      </c>
      <c r="AT262" s="87">
        <f t="shared" si="13"/>
        <v>0</v>
      </c>
      <c r="AU262" s="88">
        <f t="shared" si="81"/>
        <v>0</v>
      </c>
      <c r="AV262" s="89" t="str">
        <f t="shared" si="15"/>
        <v>#VALUE!</v>
      </c>
      <c r="AW262" s="90">
        <f t="shared" si="16"/>
        <v>0</v>
      </c>
      <c r="AY262" s="85">
        <f t="shared" si="17"/>
        <v>1</v>
      </c>
      <c r="AZ262" s="20">
        <f t="shared" si="18"/>
        <v>1</v>
      </c>
      <c r="BA262" s="20">
        <f t="shared" si="19"/>
        <v>1</v>
      </c>
      <c r="BB262" s="91">
        <f t="shared" si="20"/>
        <v>9218.56</v>
      </c>
      <c r="BC262" s="87">
        <f t="shared" si="21"/>
        <v>31700.1</v>
      </c>
      <c r="BD262" s="92">
        <f t="shared" si="22"/>
        <v>9.166666667</v>
      </c>
      <c r="BE262" s="89" t="str">
        <f t="shared" si="23"/>
        <v>#VALUE!</v>
      </c>
      <c r="BF262" s="90" t="str">
        <f t="shared" si="24"/>
        <v>#VALUE!</v>
      </c>
      <c r="BH262" s="93">
        <f t="shared" si="25"/>
        <v>31700.1</v>
      </c>
      <c r="BI262" s="94">
        <f t="shared" si="26"/>
        <v>1</v>
      </c>
      <c r="BJ262" s="95" t="str">
        <f t="shared" si="27"/>
        <v>#VALUE!</v>
      </c>
      <c r="BK262" s="96" t="str">
        <f t="shared" si="28"/>
        <v>#VALUE!</v>
      </c>
      <c r="BM262" s="97">
        <f t="shared" si="29"/>
        <v>1</v>
      </c>
    </row>
    <row r="263" ht="12.75" customHeight="1">
      <c r="A263" s="65"/>
      <c r="B263" s="66" t="s">
        <v>536</v>
      </c>
      <c r="C263" s="67">
        <v>71000.0</v>
      </c>
      <c r="D263" s="68">
        <v>13.0</v>
      </c>
      <c r="E263" s="67">
        <v>60556.46</v>
      </c>
      <c r="F263" s="68" t="s">
        <v>64</v>
      </c>
      <c r="G263" s="69">
        <v>44831.0</v>
      </c>
      <c r="H263" s="71" t="s">
        <v>57</v>
      </c>
      <c r="I263" s="69">
        <v>45469.0</v>
      </c>
      <c r="J263" s="71">
        <f t="shared" si="99"/>
        <v>21.26666667</v>
      </c>
      <c r="K263" s="72" t="s">
        <v>537</v>
      </c>
      <c r="L263" s="72">
        <v>87000.0</v>
      </c>
      <c r="M263" s="73">
        <v>2345.84</v>
      </c>
      <c r="N263" s="73">
        <v>6381.76</v>
      </c>
      <c r="O263" s="73">
        <v>6543.66</v>
      </c>
      <c r="P263" s="73">
        <f t="shared" si="70"/>
        <v>0</v>
      </c>
      <c r="Q263" s="73">
        <f t="shared" si="71"/>
        <v>0</v>
      </c>
      <c r="R263" s="74">
        <f t="shared" si="72"/>
        <v>0</v>
      </c>
      <c r="S263" s="74">
        <f t="shared" si="73"/>
        <v>1</v>
      </c>
      <c r="T263" s="75"/>
      <c r="V263" s="76">
        <v>370.0</v>
      </c>
      <c r="W263" s="77"/>
      <c r="X263" s="77">
        <v>25.9</v>
      </c>
      <c r="Y263" s="77"/>
      <c r="Z263" s="77">
        <f>298.4+122+137.6</f>
        <v>558</v>
      </c>
      <c r="AA263" s="77">
        <v>2869.58</v>
      </c>
      <c r="AB263" s="78">
        <f t="shared" si="101"/>
        <v>3823.48</v>
      </c>
      <c r="AC263" s="77">
        <v>14371.82</v>
      </c>
      <c r="AD263" s="79">
        <v>0.059</v>
      </c>
      <c r="AE263" s="80">
        <f t="shared" si="111"/>
        <v>418.1608997</v>
      </c>
      <c r="AF263" s="81">
        <v>46184.64</v>
      </c>
      <c r="AG263" s="79">
        <v>0.059</v>
      </c>
      <c r="AH263" s="80">
        <f t="shared" si="112"/>
        <v>1343.783224</v>
      </c>
      <c r="AI263" s="82">
        <f t="shared" si="113"/>
        <v>60556.46</v>
      </c>
      <c r="AJ263" s="82">
        <f t="shared" si="102"/>
        <v>1761.944124</v>
      </c>
      <c r="AK263" s="83">
        <f t="shared" si="108"/>
        <v>1761.944124</v>
      </c>
      <c r="AL263" s="84">
        <f t="shared" si="104"/>
        <v>2345.844124</v>
      </c>
      <c r="AP263" s="85">
        <f t="shared" si="9"/>
        <v>0</v>
      </c>
      <c r="AQ263" s="20">
        <f t="shared" si="10"/>
        <v>1</v>
      </c>
      <c r="AR263" s="20">
        <f t="shared" si="11"/>
        <v>0</v>
      </c>
      <c r="AS263" s="86">
        <f t="shared" si="12"/>
        <v>0</v>
      </c>
      <c r="AT263" s="87">
        <f t="shared" si="13"/>
        <v>0</v>
      </c>
      <c r="AU263" s="88">
        <f t="shared" si="81"/>
        <v>0</v>
      </c>
      <c r="AV263" s="89" t="str">
        <f t="shared" si="15"/>
        <v>#VALUE!</v>
      </c>
      <c r="AW263" s="90">
        <f t="shared" si="16"/>
        <v>0</v>
      </c>
      <c r="AY263" s="85">
        <f t="shared" si="17"/>
        <v>1</v>
      </c>
      <c r="AZ263" s="20">
        <f t="shared" si="18"/>
        <v>1</v>
      </c>
      <c r="BA263" s="20">
        <f t="shared" si="19"/>
        <v>1</v>
      </c>
      <c r="BB263" s="91">
        <f t="shared" si="20"/>
        <v>12925.42</v>
      </c>
      <c r="BC263" s="87">
        <f t="shared" si="21"/>
        <v>60556.46</v>
      </c>
      <c r="BD263" s="92">
        <f t="shared" si="22"/>
        <v>21.26666667</v>
      </c>
      <c r="BE263" s="89" t="str">
        <f t="shared" si="23"/>
        <v>#VALUE!</v>
      </c>
      <c r="BF263" s="90" t="str">
        <f t="shared" si="24"/>
        <v>#VALUE!</v>
      </c>
      <c r="BH263" s="93">
        <f t="shared" si="25"/>
        <v>60556.46</v>
      </c>
      <c r="BI263" s="94">
        <f t="shared" si="26"/>
        <v>1</v>
      </c>
      <c r="BJ263" s="95" t="str">
        <f t="shared" si="27"/>
        <v>#VALUE!</v>
      </c>
      <c r="BK263" s="96" t="str">
        <f t="shared" si="28"/>
        <v>#VALUE!</v>
      </c>
      <c r="BM263" s="97">
        <f t="shared" si="29"/>
        <v>1</v>
      </c>
    </row>
    <row r="264" ht="12.75" customHeight="1">
      <c r="A264" s="65"/>
      <c r="B264" s="66" t="s">
        <v>538</v>
      </c>
      <c r="C264" s="67">
        <v>17000.0</v>
      </c>
      <c r="D264" s="68">
        <v>13.0</v>
      </c>
      <c r="E264" s="67">
        <v>9970.89</v>
      </c>
      <c r="F264" s="68" t="s">
        <v>56</v>
      </c>
      <c r="G264" s="69">
        <v>44895.0</v>
      </c>
      <c r="H264" s="70" t="s">
        <v>57</v>
      </c>
      <c r="I264" s="100">
        <v>45706.0</v>
      </c>
      <c r="J264" s="71">
        <f t="shared" si="99"/>
        <v>27.03333333</v>
      </c>
      <c r="K264" s="98" t="s">
        <v>539</v>
      </c>
      <c r="L264" s="98">
        <v>26000.0</v>
      </c>
      <c r="M264" s="101">
        <v>657.39</v>
      </c>
      <c r="N264" s="101">
        <v>8307.26</v>
      </c>
      <c r="O264" s="73">
        <f>4418.61</f>
        <v>4418.61</v>
      </c>
      <c r="P264" s="73">
        <f t="shared" si="70"/>
        <v>0</v>
      </c>
      <c r="Q264" s="73">
        <f t="shared" si="71"/>
        <v>0</v>
      </c>
      <c r="R264" s="74">
        <f t="shared" si="72"/>
        <v>0</v>
      </c>
      <c r="S264" s="74">
        <f t="shared" si="73"/>
        <v>1</v>
      </c>
      <c r="T264" s="75"/>
      <c r="V264" s="102">
        <v>239.25</v>
      </c>
      <c r="W264" s="77"/>
      <c r="X264" s="103">
        <v>16.75</v>
      </c>
      <c r="Y264" s="77"/>
      <c r="Z264" s="77">
        <f>65.54+169.94+85.55</f>
        <v>321.03</v>
      </c>
      <c r="AA264" s="103">
        <v>1774.49</v>
      </c>
      <c r="AB264" s="78">
        <f t="shared" si="101"/>
        <v>2351.52</v>
      </c>
      <c r="AC264" s="103">
        <v>9970.89</v>
      </c>
      <c r="AD264" s="104">
        <v>0.065</v>
      </c>
      <c r="AE264" s="80">
        <f t="shared" si="111"/>
        <v>319.6148301</v>
      </c>
      <c r="AF264" s="81"/>
      <c r="AG264" s="79"/>
      <c r="AH264" s="80">
        <f t="shared" si="112"/>
        <v>0</v>
      </c>
      <c r="AI264" s="82">
        <f t="shared" si="113"/>
        <v>9970.89</v>
      </c>
      <c r="AJ264" s="82">
        <f t="shared" si="102"/>
        <v>319.6148301</v>
      </c>
      <c r="AK264" s="83">
        <f t="shared" si="108"/>
        <v>319.6148301</v>
      </c>
      <c r="AL264" s="84">
        <f t="shared" si="104"/>
        <v>657.3948301</v>
      </c>
      <c r="AP264" s="85">
        <f t="shared" si="9"/>
        <v>1</v>
      </c>
      <c r="AQ264" s="20">
        <f t="shared" si="10"/>
        <v>1</v>
      </c>
      <c r="AR264" s="20">
        <f t="shared" si="11"/>
        <v>1</v>
      </c>
      <c r="AS264" s="86">
        <f t="shared" si="12"/>
        <v>12725.87</v>
      </c>
      <c r="AT264" s="87">
        <f t="shared" si="13"/>
        <v>9970.89</v>
      </c>
      <c r="AU264" s="88">
        <f t="shared" si="81"/>
        <v>27.03333333</v>
      </c>
      <c r="AV264" s="89" t="str">
        <f t="shared" si="15"/>
        <v>#VALUE!</v>
      </c>
      <c r="AW264" s="90" t="str">
        <f t="shared" si="16"/>
        <v>#VALUE!</v>
      </c>
      <c r="AY264" s="85">
        <f t="shared" si="17"/>
        <v>0</v>
      </c>
      <c r="AZ264" s="20">
        <f t="shared" si="18"/>
        <v>1</v>
      </c>
      <c r="BA264" s="20">
        <f t="shared" si="19"/>
        <v>0</v>
      </c>
      <c r="BB264" s="91">
        <f t="shared" si="20"/>
        <v>0</v>
      </c>
      <c r="BC264" s="87">
        <f t="shared" si="21"/>
        <v>0</v>
      </c>
      <c r="BD264" s="92">
        <f t="shared" si="22"/>
        <v>0</v>
      </c>
      <c r="BE264" s="89" t="str">
        <f t="shared" si="23"/>
        <v>#VALUE!</v>
      </c>
      <c r="BF264" s="90">
        <f t="shared" si="24"/>
        <v>0</v>
      </c>
      <c r="BH264" s="93">
        <f t="shared" si="25"/>
        <v>9970.89</v>
      </c>
      <c r="BI264" s="94">
        <f t="shared" si="26"/>
        <v>1</v>
      </c>
      <c r="BJ264" s="95" t="str">
        <f t="shared" si="27"/>
        <v>#VALUE!</v>
      </c>
      <c r="BK264" s="96" t="str">
        <f t="shared" si="28"/>
        <v>#VALUE!</v>
      </c>
      <c r="BM264" s="97">
        <f t="shared" si="29"/>
        <v>1</v>
      </c>
    </row>
    <row r="265" ht="12.75" customHeight="1">
      <c r="A265" s="65"/>
      <c r="B265" s="66" t="s">
        <v>540</v>
      </c>
      <c r="C265" s="67">
        <v>52819.5</v>
      </c>
      <c r="D265" s="68">
        <v>13.0</v>
      </c>
      <c r="E265" s="67">
        <v>49921.7</v>
      </c>
      <c r="F265" s="68" t="s">
        <v>56</v>
      </c>
      <c r="G265" s="69">
        <v>44994.0</v>
      </c>
      <c r="H265" s="71" t="s">
        <v>57</v>
      </c>
      <c r="I265" s="69">
        <v>45198.0</v>
      </c>
      <c r="J265" s="71">
        <f t="shared" si="99"/>
        <v>6.8</v>
      </c>
      <c r="K265" s="72" t="s">
        <v>541</v>
      </c>
      <c r="L265" s="72">
        <v>60300.0</v>
      </c>
      <c r="M265" s="73">
        <v>300.46999999999997</v>
      </c>
      <c r="N265" s="73">
        <v>4953.45</v>
      </c>
      <c r="O265" s="73">
        <v>3286.3</v>
      </c>
      <c r="P265" s="73">
        <f t="shared" si="70"/>
        <v>0</v>
      </c>
      <c r="Q265" s="73">
        <f t="shared" si="71"/>
        <v>0</v>
      </c>
      <c r="R265" s="74">
        <f t="shared" si="72"/>
        <v>0</v>
      </c>
      <c r="S265" s="74">
        <f t="shared" si="73"/>
        <v>1</v>
      </c>
      <c r="T265" s="75"/>
      <c r="V265" s="76">
        <v>18.5</v>
      </c>
      <c r="W265" s="77"/>
      <c r="X265" s="77">
        <v>1.3</v>
      </c>
      <c r="Y265" s="77"/>
      <c r="Z265" s="77">
        <f>9.46+14.18+20.74</f>
        <v>44.38</v>
      </c>
      <c r="AA265" s="77">
        <v>254.79</v>
      </c>
      <c r="AB265" s="78">
        <f t="shared" si="101"/>
        <v>318.97</v>
      </c>
      <c r="AC265" s="77">
        <v>49921.7</v>
      </c>
      <c r="AD265" s="79">
        <v>0.015</v>
      </c>
      <c r="AE265" s="80">
        <f t="shared" si="111"/>
        <v>369.2838082</v>
      </c>
      <c r="AF265" s="81"/>
      <c r="AG265" s="79"/>
      <c r="AH265" s="80"/>
      <c r="AI265" s="82"/>
      <c r="AJ265" s="82">
        <f t="shared" si="102"/>
        <v>369.2838082</v>
      </c>
      <c r="AK265" s="83">
        <f t="shared" si="108"/>
        <v>254.79</v>
      </c>
      <c r="AL265" s="84">
        <f t="shared" si="104"/>
        <v>300.47</v>
      </c>
      <c r="AP265" s="85">
        <f t="shared" si="9"/>
        <v>1</v>
      </c>
      <c r="AQ265" s="20">
        <f t="shared" si="10"/>
        <v>1</v>
      </c>
      <c r="AR265" s="20">
        <f t="shared" si="11"/>
        <v>1</v>
      </c>
      <c r="AS265" s="86">
        <f t="shared" si="12"/>
        <v>8239.75</v>
      </c>
      <c r="AT265" s="87">
        <f t="shared" si="13"/>
        <v>49921.7</v>
      </c>
      <c r="AU265" s="88">
        <f t="shared" si="81"/>
        <v>6.8</v>
      </c>
      <c r="AV265" s="89" t="str">
        <f t="shared" si="15"/>
        <v>#VALUE!</v>
      </c>
      <c r="AW265" s="90" t="str">
        <f t="shared" si="16"/>
        <v>#VALUE!</v>
      </c>
      <c r="AY265" s="85">
        <f t="shared" si="17"/>
        <v>0</v>
      </c>
      <c r="AZ265" s="20">
        <f t="shared" si="18"/>
        <v>1</v>
      </c>
      <c r="BA265" s="20">
        <f t="shared" si="19"/>
        <v>0</v>
      </c>
      <c r="BB265" s="91">
        <f t="shared" si="20"/>
        <v>0</v>
      </c>
      <c r="BC265" s="87">
        <f t="shared" si="21"/>
        <v>0</v>
      </c>
      <c r="BD265" s="92">
        <f t="shared" si="22"/>
        <v>0</v>
      </c>
      <c r="BE265" s="89" t="str">
        <f t="shared" si="23"/>
        <v>#VALUE!</v>
      </c>
      <c r="BF265" s="90">
        <f t="shared" si="24"/>
        <v>0</v>
      </c>
      <c r="BH265" s="93">
        <f t="shared" si="25"/>
        <v>49921.7</v>
      </c>
      <c r="BI265" s="94">
        <f t="shared" si="26"/>
        <v>1</v>
      </c>
      <c r="BJ265" s="95" t="str">
        <f t="shared" si="27"/>
        <v>#VALUE!</v>
      </c>
      <c r="BK265" s="96" t="str">
        <f t="shared" si="28"/>
        <v>#VALUE!</v>
      </c>
      <c r="BM265" s="97">
        <f t="shared" si="29"/>
        <v>1</v>
      </c>
    </row>
    <row r="266" ht="12.75" customHeight="1">
      <c r="A266" s="65"/>
      <c r="B266" s="66" t="s">
        <v>542</v>
      </c>
      <c r="C266" s="67">
        <v>47000.0</v>
      </c>
      <c r="D266" s="68">
        <v>13.0</v>
      </c>
      <c r="E266" s="67">
        <v>35040.6</v>
      </c>
      <c r="F266" s="68" t="s">
        <v>56</v>
      </c>
      <c r="G266" s="69">
        <v>44964.0</v>
      </c>
      <c r="H266" s="71" t="s">
        <v>543</v>
      </c>
      <c r="I266" s="69" t="s">
        <v>181</v>
      </c>
      <c r="J266" s="71" t="str">
        <f t="shared" si="99"/>
        <v>N/A</v>
      </c>
      <c r="K266" s="72" t="s">
        <v>181</v>
      </c>
      <c r="L266" s="72" t="s">
        <v>181</v>
      </c>
      <c r="M266" s="73"/>
      <c r="N266" s="73"/>
      <c r="O266" s="73"/>
      <c r="P266" s="73">
        <f t="shared" si="70"/>
        <v>0</v>
      </c>
      <c r="Q266" s="73">
        <f t="shared" si="71"/>
        <v>0</v>
      </c>
      <c r="R266" s="74" t="str">
        <f t="shared" si="72"/>
        <v>N/A</v>
      </c>
      <c r="S266" s="74" t="str">
        <f t="shared" si="73"/>
        <v>N/A</v>
      </c>
      <c r="T266" s="75"/>
      <c r="V266" s="76"/>
      <c r="W266" s="77"/>
      <c r="X266" s="77"/>
      <c r="Y266" s="77"/>
      <c r="Z266" s="77"/>
      <c r="AA266" s="77"/>
      <c r="AB266" s="78">
        <f t="shared" si="101"/>
        <v>0</v>
      </c>
      <c r="AC266" s="77"/>
      <c r="AD266" s="79"/>
      <c r="AE266" s="80"/>
      <c r="AF266" s="81"/>
      <c r="AG266" s="79"/>
      <c r="AH266" s="80"/>
      <c r="AI266" s="82"/>
      <c r="AJ266" s="82">
        <f t="shared" si="102"/>
        <v>0</v>
      </c>
      <c r="AK266" s="83" t="str">
        <f t="shared" si="108"/>
        <v/>
      </c>
      <c r="AL266" s="84">
        <f t="shared" si="104"/>
        <v>0</v>
      </c>
      <c r="AP266" s="85">
        <f t="shared" si="9"/>
        <v>1</v>
      </c>
      <c r="AQ266" s="20">
        <f t="shared" si="10"/>
        <v>0</v>
      </c>
      <c r="AR266" s="20">
        <f t="shared" si="11"/>
        <v>0</v>
      </c>
      <c r="AS266" s="86">
        <f t="shared" si="12"/>
        <v>0</v>
      </c>
      <c r="AT266" s="87">
        <f t="shared" si="13"/>
        <v>0</v>
      </c>
      <c r="AU266" s="88">
        <f t="shared" si="81"/>
        <v>0</v>
      </c>
      <c r="AV266" s="89" t="str">
        <f t="shared" si="15"/>
        <v>#VALUE!</v>
      </c>
      <c r="AW266" s="90">
        <f t="shared" si="16"/>
        <v>0</v>
      </c>
      <c r="AY266" s="85">
        <f t="shared" si="17"/>
        <v>0</v>
      </c>
      <c r="AZ266" s="20">
        <f t="shared" si="18"/>
        <v>0</v>
      </c>
      <c r="BA266" s="20">
        <f t="shared" si="19"/>
        <v>0</v>
      </c>
      <c r="BB266" s="91">
        <f t="shared" si="20"/>
        <v>0</v>
      </c>
      <c r="BC266" s="87">
        <f t="shared" si="21"/>
        <v>0</v>
      </c>
      <c r="BD266" s="92">
        <f t="shared" si="22"/>
        <v>0</v>
      </c>
      <c r="BE266" s="89" t="str">
        <f t="shared" si="23"/>
        <v>#VALUE!</v>
      </c>
      <c r="BF266" s="90">
        <f t="shared" si="24"/>
        <v>0</v>
      </c>
      <c r="BH266" s="93">
        <f t="shared" si="25"/>
        <v>0</v>
      </c>
      <c r="BI266" s="94">
        <f t="shared" si="26"/>
        <v>0</v>
      </c>
      <c r="BJ266" s="95" t="str">
        <f t="shared" si="27"/>
        <v>#VALUE!</v>
      </c>
      <c r="BK266" s="96">
        <f t="shared" si="28"/>
        <v>0</v>
      </c>
      <c r="BM266" s="97">
        <f t="shared" si="29"/>
        <v>1</v>
      </c>
    </row>
    <row r="267" ht="12.75" customHeight="1">
      <c r="A267" s="65"/>
      <c r="B267" s="66" t="s">
        <v>544</v>
      </c>
      <c r="C267" s="67">
        <v>17000.0</v>
      </c>
      <c r="D267" s="68">
        <v>13.0</v>
      </c>
      <c r="E267" s="67">
        <v>10596.38</v>
      </c>
      <c r="F267" s="68" t="s">
        <v>56</v>
      </c>
      <c r="G267" s="69">
        <v>44698.0</v>
      </c>
      <c r="H267" s="70" t="s">
        <v>57</v>
      </c>
      <c r="I267" s="100">
        <v>45656.0</v>
      </c>
      <c r="J267" s="71">
        <f t="shared" si="99"/>
        <v>31.93333333</v>
      </c>
      <c r="K267" s="98" t="s">
        <v>545</v>
      </c>
      <c r="L267" s="98">
        <v>26000.0</v>
      </c>
      <c r="M267" s="73">
        <v>1522.15</v>
      </c>
      <c r="N267" s="73">
        <v>7981.46</v>
      </c>
      <c r="O267" s="101">
        <v>4736.44</v>
      </c>
      <c r="P267" s="73">
        <f t="shared" si="70"/>
        <v>0</v>
      </c>
      <c r="Q267" s="73">
        <f t="shared" si="71"/>
        <v>0</v>
      </c>
      <c r="R267" s="74">
        <f t="shared" si="72"/>
        <v>0</v>
      </c>
      <c r="S267" s="74">
        <f t="shared" si="73"/>
        <v>1</v>
      </c>
      <c r="T267" s="75"/>
      <c r="V267" s="76"/>
      <c r="W267" s="77"/>
      <c r="X267" s="77"/>
      <c r="Y267" s="77"/>
      <c r="Z267" s="109"/>
      <c r="AA267" s="77"/>
      <c r="AB267" s="78">
        <f t="shared" si="101"/>
        <v>0</v>
      </c>
      <c r="AC267" s="77"/>
      <c r="AD267" s="79"/>
      <c r="AE267" s="80"/>
      <c r="AF267" s="81"/>
      <c r="AG267" s="79"/>
      <c r="AH267" s="80"/>
      <c r="AI267" s="82"/>
      <c r="AJ267" s="82">
        <f t="shared" si="102"/>
        <v>0</v>
      </c>
      <c r="AK267" s="83"/>
      <c r="AL267" s="84">
        <f t="shared" si="104"/>
        <v>0</v>
      </c>
      <c r="AP267" s="85">
        <f t="shared" si="9"/>
        <v>1</v>
      </c>
      <c r="AQ267" s="20">
        <f t="shared" si="10"/>
        <v>1</v>
      </c>
      <c r="AR267" s="20">
        <f t="shared" si="11"/>
        <v>1</v>
      </c>
      <c r="AS267" s="86">
        <f t="shared" si="12"/>
        <v>12717.9</v>
      </c>
      <c r="AT267" s="87">
        <f t="shared" si="13"/>
        <v>10596.38</v>
      </c>
      <c r="AU267" s="88">
        <f t="shared" si="81"/>
        <v>31.93333333</v>
      </c>
      <c r="AV267" s="89" t="str">
        <f t="shared" si="15"/>
        <v>#VALUE!</v>
      </c>
      <c r="AW267" s="90" t="str">
        <f t="shared" si="16"/>
        <v>#VALUE!</v>
      </c>
      <c r="AY267" s="85">
        <f t="shared" si="17"/>
        <v>0</v>
      </c>
      <c r="AZ267" s="20">
        <f t="shared" si="18"/>
        <v>1</v>
      </c>
      <c r="BA267" s="20">
        <f t="shared" si="19"/>
        <v>0</v>
      </c>
      <c r="BB267" s="91">
        <f t="shared" si="20"/>
        <v>0</v>
      </c>
      <c r="BC267" s="87">
        <f t="shared" si="21"/>
        <v>0</v>
      </c>
      <c r="BD267" s="92">
        <f t="shared" si="22"/>
        <v>0</v>
      </c>
      <c r="BE267" s="89" t="str">
        <f t="shared" si="23"/>
        <v>#VALUE!</v>
      </c>
      <c r="BF267" s="90">
        <f t="shared" si="24"/>
        <v>0</v>
      </c>
      <c r="BH267" s="93">
        <f t="shared" si="25"/>
        <v>10596.38</v>
      </c>
      <c r="BI267" s="94">
        <f t="shared" si="26"/>
        <v>1</v>
      </c>
      <c r="BJ267" s="95" t="str">
        <f t="shared" si="27"/>
        <v>#VALUE!</v>
      </c>
      <c r="BK267" s="96" t="str">
        <f t="shared" si="28"/>
        <v>#VALUE!</v>
      </c>
      <c r="BM267" s="97">
        <f t="shared" si="29"/>
        <v>1</v>
      </c>
    </row>
    <row r="268" ht="12.75" customHeight="1">
      <c r="A268" s="65"/>
      <c r="B268" s="66" t="s">
        <v>546</v>
      </c>
      <c r="C268" s="67">
        <v>23383.83</v>
      </c>
      <c r="D268" s="68">
        <v>13.0</v>
      </c>
      <c r="E268" s="67">
        <v>16320.52</v>
      </c>
      <c r="F268" s="68" t="s">
        <v>56</v>
      </c>
      <c r="G268" s="69">
        <v>44831.0</v>
      </c>
      <c r="H268" s="71" t="s">
        <v>57</v>
      </c>
      <c r="I268" s="69">
        <v>45168.0</v>
      </c>
      <c r="J268" s="71">
        <f t="shared" si="99"/>
        <v>11.23333333</v>
      </c>
      <c r="K268" s="72" t="s">
        <v>547</v>
      </c>
      <c r="L268" s="72">
        <v>36300.0</v>
      </c>
      <c r="M268" s="73">
        <v>644.27</v>
      </c>
      <c r="N268" s="73">
        <v>2556.65</v>
      </c>
      <c r="O268" s="73">
        <v>3720.69</v>
      </c>
      <c r="P268" s="73">
        <f t="shared" si="70"/>
        <v>0</v>
      </c>
      <c r="Q268" s="73">
        <f t="shared" si="71"/>
        <v>0</v>
      </c>
      <c r="R268" s="74">
        <f t="shared" si="72"/>
        <v>0</v>
      </c>
      <c r="S268" s="74">
        <f t="shared" si="73"/>
        <v>1</v>
      </c>
      <c r="T268" s="75"/>
      <c r="V268" s="76">
        <v>30.0</v>
      </c>
      <c r="W268" s="77"/>
      <c r="X268" s="77">
        <v>5.6</v>
      </c>
      <c r="Y268" s="77"/>
      <c r="Z268" s="77">
        <f>31.1+27+37.3</f>
        <v>95.4</v>
      </c>
      <c r="AA268" s="77">
        <v>1059.38</v>
      </c>
      <c r="AB268" s="78">
        <f t="shared" si="101"/>
        <v>1190.38</v>
      </c>
      <c r="AC268" s="77">
        <v>16320.52</v>
      </c>
      <c r="AD268" s="79">
        <v>0.0675</v>
      </c>
      <c r="AE268" s="80">
        <f t="shared" ref="AE268:AE269" si="114">((AC268*AD268)/365)*180</f>
        <v>543.2721041</v>
      </c>
      <c r="AF268" s="81"/>
      <c r="AG268" s="79"/>
      <c r="AH268" s="80">
        <f t="shared" ref="AH268:AH269" si="115">((AF268*AG268)/365)*180</f>
        <v>0</v>
      </c>
      <c r="AI268" s="82">
        <f t="shared" ref="AI268:AI269" si="116">AC268+AF268</f>
        <v>16320.52</v>
      </c>
      <c r="AJ268" s="82">
        <f t="shared" si="102"/>
        <v>543.2721041</v>
      </c>
      <c r="AK268" s="83">
        <f t="shared" ref="AK268:AK269" si="117">IF(AJ268&lt;AA268,AJ268,AA268)</f>
        <v>543.2721041</v>
      </c>
      <c r="AL268" s="84">
        <f t="shared" si="104"/>
        <v>644.2721041</v>
      </c>
      <c r="AP268" s="85">
        <f t="shared" si="9"/>
        <v>1</v>
      </c>
      <c r="AQ268" s="20">
        <f t="shared" si="10"/>
        <v>1</v>
      </c>
      <c r="AR268" s="20">
        <f t="shared" si="11"/>
        <v>1</v>
      </c>
      <c r="AS268" s="86">
        <f t="shared" si="12"/>
        <v>6277.34</v>
      </c>
      <c r="AT268" s="87">
        <f t="shared" si="13"/>
        <v>16320.52</v>
      </c>
      <c r="AU268" s="88">
        <f t="shared" si="81"/>
        <v>11.23333333</v>
      </c>
      <c r="AV268" s="89" t="str">
        <f t="shared" si="15"/>
        <v>#VALUE!</v>
      </c>
      <c r="AW268" s="90" t="str">
        <f t="shared" si="16"/>
        <v>#VALUE!</v>
      </c>
      <c r="AY268" s="85">
        <f t="shared" si="17"/>
        <v>0</v>
      </c>
      <c r="AZ268" s="20">
        <f t="shared" si="18"/>
        <v>1</v>
      </c>
      <c r="BA268" s="20">
        <f t="shared" si="19"/>
        <v>0</v>
      </c>
      <c r="BB268" s="91">
        <f t="shared" si="20"/>
        <v>0</v>
      </c>
      <c r="BC268" s="87">
        <f t="shared" si="21"/>
        <v>0</v>
      </c>
      <c r="BD268" s="92">
        <f t="shared" si="22"/>
        <v>0</v>
      </c>
      <c r="BE268" s="89" t="str">
        <f t="shared" si="23"/>
        <v>#VALUE!</v>
      </c>
      <c r="BF268" s="90">
        <f t="shared" si="24"/>
        <v>0</v>
      </c>
      <c r="BH268" s="93">
        <f t="shared" si="25"/>
        <v>16320.52</v>
      </c>
      <c r="BI268" s="94">
        <f t="shared" si="26"/>
        <v>1</v>
      </c>
      <c r="BJ268" s="95" t="str">
        <f t="shared" si="27"/>
        <v>#VALUE!</v>
      </c>
      <c r="BK268" s="96" t="str">
        <f t="shared" si="28"/>
        <v>#VALUE!</v>
      </c>
      <c r="BM268" s="97">
        <f t="shared" si="29"/>
        <v>1</v>
      </c>
    </row>
    <row r="269" ht="12.75" customHeight="1">
      <c r="A269" s="65"/>
      <c r="B269" s="66" t="s">
        <v>548</v>
      </c>
      <c r="C269" s="67">
        <v>40000.0</v>
      </c>
      <c r="D269" s="68">
        <v>13.0</v>
      </c>
      <c r="E269" s="67">
        <v>31918.39</v>
      </c>
      <c r="F269" s="68" t="s">
        <v>56</v>
      </c>
      <c r="G269" s="69">
        <v>45027.0</v>
      </c>
      <c r="H269" s="71" t="s">
        <v>57</v>
      </c>
      <c r="I269" s="69">
        <v>45289.0</v>
      </c>
      <c r="J269" s="71">
        <f t="shared" si="99"/>
        <v>8.733333333</v>
      </c>
      <c r="K269" s="72" t="s">
        <v>549</v>
      </c>
      <c r="L269" s="72">
        <v>42750.0</v>
      </c>
      <c r="M269" s="73">
        <v>360.66</v>
      </c>
      <c r="N269" s="73">
        <v>3039.01</v>
      </c>
      <c r="O269" s="73">
        <v>3186.24</v>
      </c>
      <c r="P269" s="73">
        <f t="shared" si="70"/>
        <v>0</v>
      </c>
      <c r="Q269" s="73">
        <f t="shared" si="71"/>
        <v>0</v>
      </c>
      <c r="R269" s="74">
        <f t="shared" si="72"/>
        <v>0</v>
      </c>
      <c r="S269" s="74">
        <f t="shared" si="73"/>
        <v>1</v>
      </c>
      <c r="T269" s="75"/>
      <c r="V269" s="76">
        <v>406.5</v>
      </c>
      <c r="W269" s="77"/>
      <c r="X269" s="77">
        <v>28.46</v>
      </c>
      <c r="Y269" s="77"/>
      <c r="Z269" s="77">
        <f>126+75.6+130.6</f>
        <v>332.2</v>
      </c>
      <c r="AA269" s="77">
        <v>0.0</v>
      </c>
      <c r="AB269" s="78">
        <f t="shared" si="101"/>
        <v>767.16</v>
      </c>
      <c r="AC269" s="77">
        <v>19294.71</v>
      </c>
      <c r="AD269" s="79"/>
      <c r="AE269" s="80">
        <f t="shared" si="114"/>
        <v>0</v>
      </c>
      <c r="AF269" s="81">
        <v>12623.68</v>
      </c>
      <c r="AG269" s="79">
        <v>0.07</v>
      </c>
      <c r="AH269" s="80">
        <f t="shared" si="115"/>
        <v>435.7763507</v>
      </c>
      <c r="AI269" s="82">
        <f t="shared" si="116"/>
        <v>31918.39</v>
      </c>
      <c r="AJ269" s="82">
        <f t="shared" si="102"/>
        <v>435.7763507</v>
      </c>
      <c r="AK269" s="83">
        <f t="shared" si="117"/>
        <v>0</v>
      </c>
      <c r="AL269" s="84">
        <f t="shared" si="104"/>
        <v>360.66</v>
      </c>
      <c r="AP269" s="85">
        <f t="shared" si="9"/>
        <v>1</v>
      </c>
      <c r="AQ269" s="20">
        <f t="shared" si="10"/>
        <v>1</v>
      </c>
      <c r="AR269" s="20">
        <f t="shared" si="11"/>
        <v>1</v>
      </c>
      <c r="AS269" s="86">
        <f t="shared" si="12"/>
        <v>6225.25</v>
      </c>
      <c r="AT269" s="87">
        <f t="shared" si="13"/>
        <v>31918.39</v>
      </c>
      <c r="AU269" s="88">
        <f t="shared" si="81"/>
        <v>8.733333333</v>
      </c>
      <c r="AV269" s="89" t="str">
        <f t="shared" si="15"/>
        <v>#VALUE!</v>
      </c>
      <c r="AW269" s="90" t="str">
        <f t="shared" si="16"/>
        <v>#VALUE!</v>
      </c>
      <c r="AY269" s="85">
        <f t="shared" si="17"/>
        <v>0</v>
      </c>
      <c r="AZ269" s="20">
        <f t="shared" si="18"/>
        <v>1</v>
      </c>
      <c r="BA269" s="20">
        <f t="shared" si="19"/>
        <v>0</v>
      </c>
      <c r="BB269" s="91">
        <f t="shared" si="20"/>
        <v>0</v>
      </c>
      <c r="BC269" s="87">
        <f t="shared" si="21"/>
        <v>0</v>
      </c>
      <c r="BD269" s="92">
        <f t="shared" si="22"/>
        <v>0</v>
      </c>
      <c r="BE269" s="89" t="str">
        <f t="shared" si="23"/>
        <v>#VALUE!</v>
      </c>
      <c r="BF269" s="90">
        <f t="shared" si="24"/>
        <v>0</v>
      </c>
      <c r="BH269" s="93">
        <f t="shared" si="25"/>
        <v>31918.39</v>
      </c>
      <c r="BI269" s="94">
        <f t="shared" si="26"/>
        <v>1</v>
      </c>
      <c r="BJ269" s="95" t="str">
        <f t="shared" si="27"/>
        <v>#VALUE!</v>
      </c>
      <c r="BK269" s="96" t="str">
        <f t="shared" si="28"/>
        <v>#VALUE!</v>
      </c>
      <c r="BM269" s="97">
        <f t="shared" si="29"/>
        <v>1</v>
      </c>
    </row>
    <row r="270" ht="12.75" customHeight="1">
      <c r="A270" s="65"/>
      <c r="B270" s="66" t="s">
        <v>550</v>
      </c>
      <c r="C270" s="67">
        <v>80000.0</v>
      </c>
      <c r="D270" s="68">
        <v>13.0</v>
      </c>
      <c r="E270" s="67">
        <v>77516.09</v>
      </c>
      <c r="F270" s="68" t="s">
        <v>56</v>
      </c>
      <c r="G270" s="69">
        <v>45154.0</v>
      </c>
      <c r="H270" s="70" t="s">
        <v>57</v>
      </c>
      <c r="I270" s="100">
        <v>45469.0</v>
      </c>
      <c r="J270" s="71">
        <f t="shared" si="99"/>
        <v>10.5</v>
      </c>
      <c r="K270" s="98" t="s">
        <v>551</v>
      </c>
      <c r="L270" s="98">
        <v>80000.0</v>
      </c>
      <c r="M270" s="73">
        <v>2241.4700000000003</v>
      </c>
      <c r="N270" s="110">
        <v>12106.46</v>
      </c>
      <c r="O270" s="73">
        <v>1864.28</v>
      </c>
      <c r="P270" s="73">
        <f t="shared" si="70"/>
        <v>0</v>
      </c>
      <c r="Q270" s="73">
        <f t="shared" si="71"/>
        <v>13728.3</v>
      </c>
      <c r="R270" s="74">
        <f t="shared" si="72"/>
        <v>0.1771025861</v>
      </c>
      <c r="S270" s="74">
        <f t="shared" si="73"/>
        <v>0.8228974139</v>
      </c>
      <c r="T270" s="75"/>
      <c r="V270" s="76"/>
      <c r="W270" s="77"/>
      <c r="X270" s="77"/>
      <c r="Y270" s="77"/>
      <c r="Z270" s="77"/>
      <c r="AA270" s="77"/>
      <c r="AB270" s="78"/>
      <c r="AC270" s="77"/>
      <c r="AD270" s="79"/>
      <c r="AE270" s="80"/>
      <c r="AF270" s="81"/>
      <c r="AG270" s="79"/>
      <c r="AH270" s="80"/>
      <c r="AI270" s="82"/>
      <c r="AJ270" s="82"/>
      <c r="AK270" s="83"/>
      <c r="AL270" s="84"/>
      <c r="AM270" s="23">
        <v>2982.57</v>
      </c>
      <c r="AN270" s="111">
        <f>AM270+Z270</f>
        <v>2982.57</v>
      </c>
      <c r="AP270" s="85">
        <f t="shared" si="9"/>
        <v>1</v>
      </c>
      <c r="AQ270" s="20">
        <f t="shared" si="10"/>
        <v>1</v>
      </c>
      <c r="AR270" s="20">
        <f t="shared" si="11"/>
        <v>1</v>
      </c>
      <c r="AS270" s="86">
        <f t="shared" si="12"/>
        <v>13970.74</v>
      </c>
      <c r="AT270" s="87">
        <f t="shared" si="13"/>
        <v>77516.09</v>
      </c>
      <c r="AU270" s="88">
        <f t="shared" si="81"/>
        <v>10.5</v>
      </c>
      <c r="AV270" s="89" t="str">
        <f t="shared" si="15"/>
        <v>#VALUE!</v>
      </c>
      <c r="AW270" s="90" t="str">
        <f t="shared" si="16"/>
        <v>#VALUE!</v>
      </c>
      <c r="AY270" s="85">
        <f t="shared" si="17"/>
        <v>0</v>
      </c>
      <c r="AZ270" s="20">
        <f t="shared" si="18"/>
        <v>1</v>
      </c>
      <c r="BA270" s="20">
        <f t="shared" si="19"/>
        <v>0</v>
      </c>
      <c r="BB270" s="91">
        <f t="shared" si="20"/>
        <v>0</v>
      </c>
      <c r="BC270" s="87">
        <f t="shared" si="21"/>
        <v>0</v>
      </c>
      <c r="BD270" s="92">
        <f t="shared" si="22"/>
        <v>0</v>
      </c>
      <c r="BE270" s="89" t="str">
        <f t="shared" si="23"/>
        <v>#VALUE!</v>
      </c>
      <c r="BF270" s="90">
        <f t="shared" si="24"/>
        <v>0</v>
      </c>
      <c r="BH270" s="93">
        <f t="shared" si="25"/>
        <v>77516.09</v>
      </c>
      <c r="BI270" s="94">
        <f t="shared" si="26"/>
        <v>1</v>
      </c>
      <c r="BJ270" s="95" t="str">
        <f t="shared" si="27"/>
        <v>#VALUE!</v>
      </c>
      <c r="BK270" s="96" t="str">
        <f t="shared" si="28"/>
        <v>#VALUE!</v>
      </c>
      <c r="BM270" s="97">
        <f t="shared" si="29"/>
        <v>1</v>
      </c>
    </row>
    <row r="271" ht="12.75" customHeight="1">
      <c r="A271" s="65"/>
      <c r="B271" s="66" t="s">
        <v>552</v>
      </c>
      <c r="C271" s="67">
        <v>24745.6</v>
      </c>
      <c r="D271" s="68">
        <v>13.0</v>
      </c>
      <c r="E271" s="67">
        <v>17597.1</v>
      </c>
      <c r="F271" s="68" t="s">
        <v>56</v>
      </c>
      <c r="G271" s="69">
        <v>45158.0</v>
      </c>
      <c r="H271" s="71" t="s">
        <v>57</v>
      </c>
      <c r="I271" s="69">
        <v>45378.0</v>
      </c>
      <c r="J271" s="71">
        <f t="shared" si="99"/>
        <v>7.333333333</v>
      </c>
      <c r="K271" s="72" t="s">
        <v>553</v>
      </c>
      <c r="L271" s="72">
        <v>45000.0</v>
      </c>
      <c r="M271" s="73">
        <v>1194.09</v>
      </c>
      <c r="N271" s="73">
        <v>4729.51</v>
      </c>
      <c r="O271" s="73">
        <v>4320.87</v>
      </c>
      <c r="P271" s="73">
        <f t="shared" si="70"/>
        <v>0</v>
      </c>
      <c r="Q271" s="73">
        <f t="shared" si="71"/>
        <v>0</v>
      </c>
      <c r="R271" s="74">
        <f t="shared" si="72"/>
        <v>0</v>
      </c>
      <c r="S271" s="74">
        <f t="shared" si="73"/>
        <v>1</v>
      </c>
      <c r="T271" s="75"/>
      <c r="V271" s="76">
        <v>404.25</v>
      </c>
      <c r="W271" s="77"/>
      <c r="X271" s="77">
        <v>28.3</v>
      </c>
      <c r="Y271" s="77"/>
      <c r="Z271" s="77">
        <f>161.21+243.04+197.47</f>
        <v>601.72</v>
      </c>
      <c r="AA271" s="77">
        <v>4747.6</v>
      </c>
      <c r="AB271" s="78">
        <f t="shared" ref="AB271:AB283" si="118">AA271+Z271+Y271+X271+V271+W271</f>
        <v>5781.87</v>
      </c>
      <c r="AC271" s="77">
        <v>17597.1</v>
      </c>
      <c r="AD271" s="79">
        <v>0.065</v>
      </c>
      <c r="AE271" s="80">
        <f t="shared" ref="AE271:AE272" si="119">((AC271*AD271)/365)*180</f>
        <v>564.0714247</v>
      </c>
      <c r="AF271" s="81"/>
      <c r="AG271" s="79"/>
      <c r="AH271" s="80">
        <f t="shared" ref="AH271:AH272" si="120">((AF271*AG271)/365)*180</f>
        <v>0</v>
      </c>
      <c r="AI271" s="82">
        <f t="shared" ref="AI271:AI272" si="121">AC271+AF271</f>
        <v>17597.1</v>
      </c>
      <c r="AJ271" s="82">
        <f t="shared" ref="AJ271:AJ283" si="122">AE271+AH271</f>
        <v>564.0714247</v>
      </c>
      <c r="AK271" s="83">
        <f t="shared" ref="AK271:AK274" si="123">IF(AJ271&lt;AA271,AJ271,AA271)</f>
        <v>564.0714247</v>
      </c>
      <c r="AL271" s="84">
        <f t="shared" ref="AL271:AL283" si="124">W271+X271+Y271+Z271+AK271</f>
        <v>1194.091425</v>
      </c>
      <c r="AP271" s="85">
        <f t="shared" si="9"/>
        <v>1</v>
      </c>
      <c r="AQ271" s="20">
        <f t="shared" si="10"/>
        <v>1</v>
      </c>
      <c r="AR271" s="20">
        <f t="shared" si="11"/>
        <v>1</v>
      </c>
      <c r="AS271" s="86">
        <f t="shared" si="12"/>
        <v>9050.38</v>
      </c>
      <c r="AT271" s="87">
        <f t="shared" si="13"/>
        <v>17597.1</v>
      </c>
      <c r="AU271" s="88">
        <f t="shared" si="81"/>
        <v>7.333333333</v>
      </c>
      <c r="AV271" s="89" t="str">
        <f t="shared" si="15"/>
        <v>#VALUE!</v>
      </c>
      <c r="AW271" s="90" t="str">
        <f t="shared" si="16"/>
        <v>#VALUE!</v>
      </c>
      <c r="AY271" s="85">
        <f t="shared" si="17"/>
        <v>0</v>
      </c>
      <c r="AZ271" s="20">
        <f t="shared" si="18"/>
        <v>1</v>
      </c>
      <c r="BA271" s="20">
        <f t="shared" si="19"/>
        <v>0</v>
      </c>
      <c r="BB271" s="91">
        <f t="shared" si="20"/>
        <v>0</v>
      </c>
      <c r="BC271" s="87">
        <f t="shared" si="21"/>
        <v>0</v>
      </c>
      <c r="BD271" s="92">
        <f t="shared" si="22"/>
        <v>0</v>
      </c>
      <c r="BE271" s="89" t="str">
        <f t="shared" si="23"/>
        <v>#VALUE!</v>
      </c>
      <c r="BF271" s="90">
        <f t="shared" si="24"/>
        <v>0</v>
      </c>
      <c r="BH271" s="93">
        <f t="shared" si="25"/>
        <v>17597.1</v>
      </c>
      <c r="BI271" s="94">
        <f t="shared" si="26"/>
        <v>1</v>
      </c>
      <c r="BJ271" s="95" t="str">
        <f t="shared" si="27"/>
        <v>#VALUE!</v>
      </c>
      <c r="BK271" s="96" t="str">
        <f t="shared" si="28"/>
        <v>#VALUE!</v>
      </c>
      <c r="BM271" s="97">
        <f t="shared" si="29"/>
        <v>1</v>
      </c>
    </row>
    <row r="272" ht="12.75" customHeight="1">
      <c r="A272" s="65"/>
      <c r="B272" s="66" t="s">
        <v>554</v>
      </c>
      <c r="C272" s="67">
        <v>35000.0</v>
      </c>
      <c r="D272" s="68">
        <v>13.0</v>
      </c>
      <c r="E272" s="67">
        <v>23930.24</v>
      </c>
      <c r="F272" s="68" t="s">
        <v>56</v>
      </c>
      <c r="G272" s="69">
        <v>44763.0</v>
      </c>
      <c r="H272" s="70" t="s">
        <v>57</v>
      </c>
      <c r="I272" s="100">
        <v>45623.0</v>
      </c>
      <c r="J272" s="71">
        <f t="shared" si="99"/>
        <v>28.66666667</v>
      </c>
      <c r="K272" s="98" t="s">
        <v>555</v>
      </c>
      <c r="L272" s="98">
        <v>53000.0</v>
      </c>
      <c r="M272" s="98">
        <v>1327.159309589041</v>
      </c>
      <c r="N272" s="73">
        <v>9269.78</v>
      </c>
      <c r="O272" s="101">
        <v>0.0</v>
      </c>
      <c r="P272" s="73">
        <f t="shared" si="70"/>
        <v>0</v>
      </c>
      <c r="Q272" s="73">
        <f t="shared" si="71"/>
        <v>0</v>
      </c>
      <c r="R272" s="74">
        <f t="shared" si="72"/>
        <v>0</v>
      </c>
      <c r="S272" s="74">
        <f t="shared" si="73"/>
        <v>1</v>
      </c>
      <c r="T272" s="75"/>
      <c r="V272" s="102">
        <v>182.75</v>
      </c>
      <c r="W272" s="77"/>
      <c r="X272" s="103">
        <v>12.79</v>
      </c>
      <c r="Y272" s="77"/>
      <c r="Z272" s="77">
        <f>102.52+265.94+160.39</f>
        <v>528.85</v>
      </c>
      <c r="AA272" s="103">
        <v>4224.34</v>
      </c>
      <c r="AB272" s="78">
        <f t="shared" si="118"/>
        <v>4948.73</v>
      </c>
      <c r="AC272" s="103">
        <v>16451.64</v>
      </c>
      <c r="AD272" s="104">
        <v>0.065</v>
      </c>
      <c r="AE272" s="80">
        <f t="shared" si="119"/>
        <v>527.3539397</v>
      </c>
      <c r="AF272" s="105">
        <v>7478.6</v>
      </c>
      <c r="AG272" s="112">
        <v>0.07</v>
      </c>
      <c r="AH272" s="80">
        <f t="shared" si="120"/>
        <v>258.1653699</v>
      </c>
      <c r="AI272" s="82">
        <f t="shared" si="121"/>
        <v>23930.24</v>
      </c>
      <c r="AJ272" s="82">
        <f t="shared" si="122"/>
        <v>785.5193096</v>
      </c>
      <c r="AK272" s="83">
        <f t="shared" si="123"/>
        <v>785.5193096</v>
      </c>
      <c r="AL272" s="84">
        <f t="shared" si="124"/>
        <v>1327.15931</v>
      </c>
      <c r="AP272" s="85">
        <f t="shared" si="9"/>
        <v>1</v>
      </c>
      <c r="AQ272" s="20">
        <f t="shared" si="10"/>
        <v>1</v>
      </c>
      <c r="AR272" s="20">
        <f t="shared" si="11"/>
        <v>1</v>
      </c>
      <c r="AS272" s="86">
        <f t="shared" si="12"/>
        <v>9269.78</v>
      </c>
      <c r="AT272" s="87">
        <f t="shared" si="13"/>
        <v>23930.24</v>
      </c>
      <c r="AU272" s="88">
        <f t="shared" si="81"/>
        <v>28.66666667</v>
      </c>
      <c r="AV272" s="89" t="str">
        <f t="shared" si="15"/>
        <v>#VALUE!</v>
      </c>
      <c r="AW272" s="90" t="str">
        <f t="shared" si="16"/>
        <v>#VALUE!</v>
      </c>
      <c r="AY272" s="85">
        <f t="shared" si="17"/>
        <v>0</v>
      </c>
      <c r="AZ272" s="20">
        <f t="shared" si="18"/>
        <v>1</v>
      </c>
      <c r="BA272" s="20">
        <f t="shared" si="19"/>
        <v>0</v>
      </c>
      <c r="BB272" s="91">
        <f t="shared" si="20"/>
        <v>0</v>
      </c>
      <c r="BC272" s="87">
        <f t="shared" si="21"/>
        <v>0</v>
      </c>
      <c r="BD272" s="92">
        <f t="shared" si="22"/>
        <v>0</v>
      </c>
      <c r="BE272" s="89" t="str">
        <f t="shared" si="23"/>
        <v>#VALUE!</v>
      </c>
      <c r="BF272" s="90">
        <f t="shared" si="24"/>
        <v>0</v>
      </c>
      <c r="BH272" s="93">
        <f t="shared" si="25"/>
        <v>23930.24</v>
      </c>
      <c r="BI272" s="94">
        <f t="shared" si="26"/>
        <v>1</v>
      </c>
      <c r="BJ272" s="95" t="str">
        <f t="shared" si="27"/>
        <v>#VALUE!</v>
      </c>
      <c r="BK272" s="96" t="str">
        <f t="shared" si="28"/>
        <v>#VALUE!</v>
      </c>
      <c r="BM272" s="97">
        <f t="shared" si="29"/>
        <v>1</v>
      </c>
    </row>
    <row r="273" ht="12.75" customHeight="1">
      <c r="A273" s="65"/>
      <c r="B273" s="66" t="s">
        <v>556</v>
      </c>
      <c r="C273" s="67">
        <v>57600.0</v>
      </c>
      <c r="D273" s="68">
        <v>13.0</v>
      </c>
      <c r="E273" s="67">
        <v>47776.76</v>
      </c>
      <c r="F273" s="68" t="s">
        <v>64</v>
      </c>
      <c r="G273" s="69">
        <v>45062.0</v>
      </c>
      <c r="H273" s="71" t="s">
        <v>57</v>
      </c>
      <c r="I273" s="69">
        <v>45471.0</v>
      </c>
      <c r="J273" s="71">
        <f t="shared" si="99"/>
        <v>13.63333333</v>
      </c>
      <c r="K273" s="72" t="s">
        <v>557</v>
      </c>
      <c r="L273" s="72">
        <v>55000.0</v>
      </c>
      <c r="M273" s="73">
        <v>644.3499999999999</v>
      </c>
      <c r="N273" s="73">
        <v>3585.43</v>
      </c>
      <c r="O273" s="73">
        <v>660.0</v>
      </c>
      <c r="P273" s="73">
        <f t="shared" si="70"/>
        <v>0</v>
      </c>
      <c r="Q273" s="73">
        <f t="shared" si="71"/>
        <v>0</v>
      </c>
      <c r="R273" s="74">
        <f t="shared" si="72"/>
        <v>0</v>
      </c>
      <c r="S273" s="74">
        <f t="shared" si="73"/>
        <v>1</v>
      </c>
      <c r="T273" s="75"/>
      <c r="V273" s="76"/>
      <c r="W273" s="77"/>
      <c r="X273" s="77"/>
      <c r="Y273" s="77"/>
      <c r="Z273" s="103"/>
      <c r="AA273" s="77"/>
      <c r="AB273" s="78">
        <f t="shared" si="118"/>
        <v>0</v>
      </c>
      <c r="AC273" s="77"/>
      <c r="AD273" s="79"/>
      <c r="AE273" s="80"/>
      <c r="AF273" s="81"/>
      <c r="AG273" s="79"/>
      <c r="AH273" s="80"/>
      <c r="AI273" s="82"/>
      <c r="AJ273" s="82">
        <f t="shared" si="122"/>
        <v>0</v>
      </c>
      <c r="AK273" s="83" t="str">
        <f t="shared" si="123"/>
        <v/>
      </c>
      <c r="AL273" s="84">
        <f t="shared" si="124"/>
        <v>0</v>
      </c>
      <c r="AP273" s="85">
        <f t="shared" si="9"/>
        <v>0</v>
      </c>
      <c r="AQ273" s="20">
        <f t="shared" si="10"/>
        <v>1</v>
      </c>
      <c r="AR273" s="20">
        <f t="shared" si="11"/>
        <v>0</v>
      </c>
      <c r="AS273" s="86">
        <f t="shared" si="12"/>
        <v>0</v>
      </c>
      <c r="AT273" s="87">
        <f t="shared" si="13"/>
        <v>0</v>
      </c>
      <c r="AU273" s="88">
        <f t="shared" si="81"/>
        <v>0</v>
      </c>
      <c r="AV273" s="89" t="str">
        <f t="shared" si="15"/>
        <v>#VALUE!</v>
      </c>
      <c r="AW273" s="90">
        <f t="shared" si="16"/>
        <v>0</v>
      </c>
      <c r="AY273" s="85">
        <f t="shared" si="17"/>
        <v>1</v>
      </c>
      <c r="AZ273" s="20">
        <f t="shared" si="18"/>
        <v>1</v>
      </c>
      <c r="BA273" s="20">
        <f t="shared" si="19"/>
        <v>1</v>
      </c>
      <c r="BB273" s="91">
        <f t="shared" si="20"/>
        <v>4245.43</v>
      </c>
      <c r="BC273" s="87">
        <f t="shared" si="21"/>
        <v>47776.76</v>
      </c>
      <c r="BD273" s="92">
        <f t="shared" si="22"/>
        <v>13.63333333</v>
      </c>
      <c r="BE273" s="89" t="str">
        <f t="shared" si="23"/>
        <v>#VALUE!</v>
      </c>
      <c r="BF273" s="90" t="str">
        <f t="shared" si="24"/>
        <v>#VALUE!</v>
      </c>
      <c r="BH273" s="93">
        <f t="shared" si="25"/>
        <v>47776.76</v>
      </c>
      <c r="BI273" s="94">
        <f t="shared" si="26"/>
        <v>1</v>
      </c>
      <c r="BJ273" s="95" t="str">
        <f t="shared" si="27"/>
        <v>#VALUE!</v>
      </c>
      <c r="BK273" s="96" t="str">
        <f t="shared" si="28"/>
        <v>#VALUE!</v>
      </c>
      <c r="BM273" s="97">
        <f t="shared" si="29"/>
        <v>1</v>
      </c>
    </row>
    <row r="274" ht="12.75" customHeight="1">
      <c r="A274" s="65"/>
      <c r="B274" s="66" t="s">
        <v>558</v>
      </c>
      <c r="C274" s="67">
        <v>30984.84</v>
      </c>
      <c r="D274" s="68">
        <v>13.0</v>
      </c>
      <c r="E274" s="67">
        <v>17744.25</v>
      </c>
      <c r="F274" s="68" t="s">
        <v>56</v>
      </c>
      <c r="G274" s="69">
        <v>45051.0</v>
      </c>
      <c r="H274" s="70" t="s">
        <v>57</v>
      </c>
      <c r="I274" s="100">
        <v>45442.0</v>
      </c>
      <c r="J274" s="71">
        <f t="shared" si="99"/>
        <v>13.03333333</v>
      </c>
      <c r="K274" s="98" t="s">
        <v>559</v>
      </c>
      <c r="L274" s="98">
        <v>50000.0</v>
      </c>
      <c r="M274" s="101">
        <v>1619.84</v>
      </c>
      <c r="N274" s="73">
        <v>5300.99</v>
      </c>
      <c r="O274" s="101">
        <v>50.0</v>
      </c>
      <c r="P274" s="73">
        <f t="shared" si="70"/>
        <v>0</v>
      </c>
      <c r="Q274" s="73">
        <f t="shared" si="71"/>
        <v>0</v>
      </c>
      <c r="R274" s="74">
        <f t="shared" si="72"/>
        <v>0</v>
      </c>
      <c r="S274" s="74">
        <f t="shared" si="73"/>
        <v>1</v>
      </c>
      <c r="T274" s="75"/>
      <c r="V274" s="102">
        <v>233.75</v>
      </c>
      <c r="W274" s="77"/>
      <c r="X274" s="103">
        <v>16.36</v>
      </c>
      <c r="Y274" s="103">
        <v>213.53</v>
      </c>
      <c r="Z274" s="77">
        <f>226.6+283.25+160.05+69.3+79.2</f>
        <v>818.4</v>
      </c>
      <c r="AA274" s="103">
        <f>4205.3+1654.88</f>
        <v>5860.18</v>
      </c>
      <c r="AB274" s="78">
        <f t="shared" si="118"/>
        <v>7142.22</v>
      </c>
      <c r="AC274" s="103">
        <v>13091.14</v>
      </c>
      <c r="AD274" s="104">
        <v>0.07</v>
      </c>
      <c r="AE274" s="80">
        <f>((AC274*AD274)/365)*180</f>
        <v>451.913326</v>
      </c>
      <c r="AF274" s="105">
        <v>4653.11</v>
      </c>
      <c r="AG274" s="104">
        <v>0.0775</v>
      </c>
      <c r="AH274" s="80">
        <f>((AF274*AG274)/365)*180</f>
        <v>177.8380397</v>
      </c>
      <c r="AI274" s="82">
        <f>AC274+AF274</f>
        <v>17744.25</v>
      </c>
      <c r="AJ274" s="82">
        <f t="shared" si="122"/>
        <v>629.7513658</v>
      </c>
      <c r="AK274" s="83">
        <f t="shared" si="123"/>
        <v>629.7513658</v>
      </c>
      <c r="AL274" s="84">
        <f t="shared" si="124"/>
        <v>1678.041366</v>
      </c>
      <c r="AP274" s="85">
        <f t="shared" si="9"/>
        <v>1</v>
      </c>
      <c r="AQ274" s="20">
        <f t="shared" si="10"/>
        <v>1</v>
      </c>
      <c r="AR274" s="20">
        <f t="shared" si="11"/>
        <v>1</v>
      </c>
      <c r="AS274" s="86">
        <f t="shared" si="12"/>
        <v>5350.99</v>
      </c>
      <c r="AT274" s="87">
        <f t="shared" si="13"/>
        <v>17744.25</v>
      </c>
      <c r="AU274" s="88">
        <f t="shared" si="81"/>
        <v>13.03333333</v>
      </c>
      <c r="AV274" s="89" t="str">
        <f t="shared" si="15"/>
        <v>#VALUE!</v>
      </c>
      <c r="AW274" s="90" t="str">
        <f t="shared" si="16"/>
        <v>#VALUE!</v>
      </c>
      <c r="AY274" s="85">
        <f t="shared" si="17"/>
        <v>0</v>
      </c>
      <c r="AZ274" s="20">
        <f t="shared" si="18"/>
        <v>1</v>
      </c>
      <c r="BA274" s="20">
        <f t="shared" si="19"/>
        <v>0</v>
      </c>
      <c r="BB274" s="91">
        <f t="shared" si="20"/>
        <v>0</v>
      </c>
      <c r="BC274" s="87">
        <f t="shared" si="21"/>
        <v>0</v>
      </c>
      <c r="BD274" s="92">
        <f t="shared" si="22"/>
        <v>0</v>
      </c>
      <c r="BE274" s="89" t="str">
        <f t="shared" si="23"/>
        <v>#VALUE!</v>
      </c>
      <c r="BF274" s="90">
        <f t="shared" si="24"/>
        <v>0</v>
      </c>
      <c r="BH274" s="93">
        <f t="shared" si="25"/>
        <v>17744.25</v>
      </c>
      <c r="BI274" s="94">
        <f t="shared" si="26"/>
        <v>1</v>
      </c>
      <c r="BJ274" s="95" t="str">
        <f t="shared" si="27"/>
        <v>#VALUE!</v>
      </c>
      <c r="BK274" s="96" t="str">
        <f t="shared" si="28"/>
        <v>#VALUE!</v>
      </c>
      <c r="BM274" s="97">
        <f t="shared" si="29"/>
        <v>1</v>
      </c>
    </row>
    <row r="275" ht="12.75" customHeight="1">
      <c r="A275" s="65"/>
      <c r="B275" s="66" t="s">
        <v>560</v>
      </c>
      <c r="C275" s="67">
        <v>36500.0</v>
      </c>
      <c r="D275" s="68">
        <v>13.0</v>
      </c>
      <c r="E275" s="67">
        <v>25628.36</v>
      </c>
      <c r="F275" s="68" t="s">
        <v>56</v>
      </c>
      <c r="G275" s="69">
        <v>45052.0</v>
      </c>
      <c r="H275" s="70" t="s">
        <v>57</v>
      </c>
      <c r="I275" s="100">
        <v>45776.0</v>
      </c>
      <c r="J275" s="71">
        <f t="shared" si="99"/>
        <v>24.13333333</v>
      </c>
      <c r="K275" s="98" t="s">
        <v>561</v>
      </c>
      <c r="L275" s="98">
        <v>47000.0</v>
      </c>
      <c r="M275" s="101">
        <v>380.44</v>
      </c>
      <c r="N275" s="101">
        <v>13204.53</v>
      </c>
      <c r="O275" s="101">
        <v>6801.2</v>
      </c>
      <c r="P275" s="73">
        <f t="shared" si="70"/>
        <v>0</v>
      </c>
      <c r="Q275" s="73">
        <f t="shared" si="71"/>
        <v>0</v>
      </c>
      <c r="R275" s="74">
        <f t="shared" si="72"/>
        <v>0</v>
      </c>
      <c r="S275" s="74">
        <f t="shared" si="73"/>
        <v>1</v>
      </c>
      <c r="T275" s="75"/>
      <c r="V275" s="76"/>
      <c r="W275" s="77"/>
      <c r="X275" s="77"/>
      <c r="Y275" s="77"/>
      <c r="Z275" s="77"/>
      <c r="AA275" s="77"/>
      <c r="AB275" s="78">
        <f t="shared" si="118"/>
        <v>0</v>
      </c>
      <c r="AC275" s="77"/>
      <c r="AD275" s="79"/>
      <c r="AE275" s="80"/>
      <c r="AF275" s="81"/>
      <c r="AG275" s="79"/>
      <c r="AH275" s="80"/>
      <c r="AI275" s="82"/>
      <c r="AJ275" s="82">
        <f t="shared" si="122"/>
        <v>0</v>
      </c>
      <c r="AK275" s="83"/>
      <c r="AL275" s="84">
        <f t="shared" si="124"/>
        <v>0</v>
      </c>
      <c r="AP275" s="85">
        <f t="shared" si="9"/>
        <v>1</v>
      </c>
      <c r="AQ275" s="20">
        <f t="shared" si="10"/>
        <v>1</v>
      </c>
      <c r="AR275" s="20">
        <f t="shared" si="11"/>
        <v>1</v>
      </c>
      <c r="AS275" s="86">
        <f t="shared" si="12"/>
        <v>20005.73</v>
      </c>
      <c r="AT275" s="87">
        <f t="shared" si="13"/>
        <v>25628.36</v>
      </c>
      <c r="AU275" s="88">
        <f t="shared" si="81"/>
        <v>24.13333333</v>
      </c>
      <c r="AV275" s="89" t="str">
        <f t="shared" si="15"/>
        <v>#VALUE!</v>
      </c>
      <c r="AW275" s="90" t="str">
        <f t="shared" si="16"/>
        <v>#VALUE!</v>
      </c>
      <c r="AY275" s="85">
        <f t="shared" si="17"/>
        <v>0</v>
      </c>
      <c r="AZ275" s="20">
        <f t="shared" si="18"/>
        <v>1</v>
      </c>
      <c r="BA275" s="20">
        <f t="shared" si="19"/>
        <v>0</v>
      </c>
      <c r="BB275" s="91">
        <f t="shared" si="20"/>
        <v>0</v>
      </c>
      <c r="BC275" s="87">
        <f t="shared" si="21"/>
        <v>0</v>
      </c>
      <c r="BD275" s="92">
        <f t="shared" si="22"/>
        <v>0</v>
      </c>
      <c r="BE275" s="89" t="str">
        <f t="shared" si="23"/>
        <v>#VALUE!</v>
      </c>
      <c r="BF275" s="90">
        <f t="shared" si="24"/>
        <v>0</v>
      </c>
      <c r="BH275" s="93">
        <f t="shared" si="25"/>
        <v>25628.36</v>
      </c>
      <c r="BI275" s="94">
        <f t="shared" si="26"/>
        <v>1</v>
      </c>
      <c r="BJ275" s="95" t="str">
        <f t="shared" si="27"/>
        <v>#VALUE!</v>
      </c>
      <c r="BK275" s="96" t="str">
        <f t="shared" si="28"/>
        <v>#VALUE!</v>
      </c>
      <c r="BM275" s="97">
        <f t="shared" si="29"/>
        <v>1</v>
      </c>
    </row>
    <row r="276" ht="12.75" customHeight="1">
      <c r="A276" s="65"/>
      <c r="B276" s="66" t="s">
        <v>562</v>
      </c>
      <c r="C276" s="67">
        <v>55000.0</v>
      </c>
      <c r="D276" s="68">
        <v>13.0</v>
      </c>
      <c r="E276" s="67">
        <v>42831.19</v>
      </c>
      <c r="F276" s="68" t="s">
        <v>56</v>
      </c>
      <c r="G276" s="69">
        <v>45051.0</v>
      </c>
      <c r="H276" s="70" t="s">
        <v>57</v>
      </c>
      <c r="I276" s="100">
        <v>45441.0</v>
      </c>
      <c r="J276" s="71">
        <f t="shared" si="99"/>
        <v>13</v>
      </c>
      <c r="K276" s="98" t="s">
        <v>563</v>
      </c>
      <c r="L276" s="98">
        <v>70000.0</v>
      </c>
      <c r="M276" s="107">
        <v>1286.3400000000001</v>
      </c>
      <c r="N276" s="110">
        <v>9198.73</v>
      </c>
      <c r="O276" s="101">
        <v>3939.07</v>
      </c>
      <c r="P276" s="73">
        <f t="shared" si="70"/>
        <v>0</v>
      </c>
      <c r="Q276" s="73">
        <f t="shared" si="71"/>
        <v>0</v>
      </c>
      <c r="R276" s="74">
        <f t="shared" si="72"/>
        <v>0</v>
      </c>
      <c r="S276" s="74">
        <f t="shared" si="73"/>
        <v>1</v>
      </c>
      <c r="T276" s="75"/>
      <c r="V276" s="102">
        <v>358.08</v>
      </c>
      <c r="W276" s="77"/>
      <c r="X276" s="103">
        <v>25.07</v>
      </c>
      <c r="Y276" s="77"/>
      <c r="Z276" s="77">
        <f>138.72+102.24+110.16</f>
        <v>351.12</v>
      </c>
      <c r="AA276" s="103">
        <v>3832.63</v>
      </c>
      <c r="AB276" s="78">
        <f t="shared" si="118"/>
        <v>4566.9</v>
      </c>
      <c r="AC276" s="103">
        <v>24060.04</v>
      </c>
      <c r="AD276" s="104">
        <v>0.065</v>
      </c>
      <c r="AE276" s="80">
        <f t="shared" ref="AE276:AE283" si="125">((AC276*AD276)/365)*180</f>
        <v>771.2396384</v>
      </c>
      <c r="AF276" s="105">
        <v>17868.25</v>
      </c>
      <c r="AG276" s="104">
        <v>0.07</v>
      </c>
      <c r="AH276" s="80">
        <f t="shared" ref="AH276:AH282" si="126">((AF276*AG276)/365)*180</f>
        <v>616.8217808</v>
      </c>
      <c r="AI276" s="82">
        <f t="shared" ref="AI276:AI283" si="127">AC276+AF276</f>
        <v>41928.29</v>
      </c>
      <c r="AJ276" s="82">
        <f t="shared" si="122"/>
        <v>1388.061419</v>
      </c>
      <c r="AK276" s="83">
        <f t="shared" ref="AK276:AK283" si="128">IF(AJ276&lt;AA276,AJ276,AA276)</f>
        <v>1388.061419</v>
      </c>
      <c r="AL276" s="84">
        <f t="shared" si="124"/>
        <v>1764.251419</v>
      </c>
      <c r="AM276" s="23">
        <v>7075.19</v>
      </c>
      <c r="AN276" s="111">
        <f>AM276+Z276</f>
        <v>7426.31</v>
      </c>
      <c r="AP276" s="85">
        <f t="shared" si="9"/>
        <v>1</v>
      </c>
      <c r="AQ276" s="20">
        <f t="shared" si="10"/>
        <v>1</v>
      </c>
      <c r="AR276" s="20">
        <f t="shared" si="11"/>
        <v>1</v>
      </c>
      <c r="AS276" s="86">
        <f t="shared" si="12"/>
        <v>13137.8</v>
      </c>
      <c r="AT276" s="87">
        <f t="shared" si="13"/>
        <v>42831.19</v>
      </c>
      <c r="AU276" s="88">
        <f t="shared" si="81"/>
        <v>13</v>
      </c>
      <c r="AV276" s="89" t="str">
        <f t="shared" si="15"/>
        <v>#VALUE!</v>
      </c>
      <c r="AW276" s="90" t="str">
        <f t="shared" si="16"/>
        <v>#VALUE!</v>
      </c>
      <c r="AY276" s="85">
        <f t="shared" si="17"/>
        <v>0</v>
      </c>
      <c r="AZ276" s="20">
        <f t="shared" si="18"/>
        <v>1</v>
      </c>
      <c r="BA276" s="20">
        <f t="shared" si="19"/>
        <v>0</v>
      </c>
      <c r="BB276" s="91">
        <f t="shared" si="20"/>
        <v>0</v>
      </c>
      <c r="BC276" s="87">
        <f t="shared" si="21"/>
        <v>0</v>
      </c>
      <c r="BD276" s="92">
        <f t="shared" si="22"/>
        <v>0</v>
      </c>
      <c r="BE276" s="89" t="str">
        <f t="shared" si="23"/>
        <v>#VALUE!</v>
      </c>
      <c r="BF276" s="90">
        <f t="shared" si="24"/>
        <v>0</v>
      </c>
      <c r="BH276" s="93">
        <f t="shared" si="25"/>
        <v>42831.19</v>
      </c>
      <c r="BI276" s="94">
        <f t="shared" si="26"/>
        <v>1</v>
      </c>
      <c r="BJ276" s="95" t="str">
        <f t="shared" si="27"/>
        <v>#VALUE!</v>
      </c>
      <c r="BK276" s="96" t="str">
        <f t="shared" si="28"/>
        <v>#VALUE!</v>
      </c>
      <c r="BM276" s="97">
        <f t="shared" si="29"/>
        <v>1</v>
      </c>
    </row>
    <row r="277" ht="12.75" customHeight="1">
      <c r="A277" s="65"/>
      <c r="B277" s="66" t="s">
        <v>564</v>
      </c>
      <c r="C277" s="67">
        <v>21490.0</v>
      </c>
      <c r="D277" s="68">
        <v>13.0</v>
      </c>
      <c r="E277" s="67">
        <v>14564.04</v>
      </c>
      <c r="F277" s="68" t="s">
        <v>64</v>
      </c>
      <c r="G277" s="69">
        <v>45105.0</v>
      </c>
      <c r="H277" s="71" t="s">
        <v>57</v>
      </c>
      <c r="I277" s="69">
        <v>45364.0</v>
      </c>
      <c r="J277" s="71">
        <f t="shared" si="99"/>
        <v>8.633333333</v>
      </c>
      <c r="K277" s="72" t="s">
        <v>565</v>
      </c>
      <c r="L277" s="72">
        <v>40000.0</v>
      </c>
      <c r="M277" s="73">
        <v>731.8</v>
      </c>
      <c r="N277" s="73">
        <v>3770.8399999999997</v>
      </c>
      <c r="O277" s="73">
        <v>2625.2</v>
      </c>
      <c r="P277" s="73">
        <f t="shared" si="70"/>
        <v>0</v>
      </c>
      <c r="Q277" s="73">
        <f t="shared" si="71"/>
        <v>0</v>
      </c>
      <c r="R277" s="74">
        <f t="shared" si="72"/>
        <v>0</v>
      </c>
      <c r="S277" s="74">
        <f t="shared" si="73"/>
        <v>1</v>
      </c>
      <c r="T277" s="75"/>
      <c r="V277" s="76">
        <v>243.07</v>
      </c>
      <c r="W277" s="77"/>
      <c r="X277" s="77">
        <v>17.01</v>
      </c>
      <c r="Y277" s="77"/>
      <c r="Z277" s="77">
        <f>65.78+102.81+79.35</f>
        <v>247.94</v>
      </c>
      <c r="AA277" s="77">
        <v>3711.43</v>
      </c>
      <c r="AB277" s="78">
        <f t="shared" si="118"/>
        <v>4219.45</v>
      </c>
      <c r="AC277" s="77">
        <v>14564.04</v>
      </c>
      <c r="AD277" s="79">
        <v>0.065</v>
      </c>
      <c r="AE277" s="80">
        <f t="shared" si="125"/>
        <v>466.8473096</v>
      </c>
      <c r="AF277" s="81"/>
      <c r="AG277" s="79"/>
      <c r="AH277" s="80">
        <f t="shared" si="126"/>
        <v>0</v>
      </c>
      <c r="AI277" s="82">
        <f t="shared" si="127"/>
        <v>14564.04</v>
      </c>
      <c r="AJ277" s="82">
        <f t="shared" si="122"/>
        <v>466.8473096</v>
      </c>
      <c r="AK277" s="83">
        <f t="shared" si="128"/>
        <v>466.8473096</v>
      </c>
      <c r="AL277" s="84">
        <f t="shared" si="124"/>
        <v>731.7973096</v>
      </c>
      <c r="AP277" s="85">
        <f t="shared" si="9"/>
        <v>0</v>
      </c>
      <c r="AQ277" s="20">
        <f t="shared" si="10"/>
        <v>1</v>
      </c>
      <c r="AR277" s="20">
        <f t="shared" si="11"/>
        <v>0</v>
      </c>
      <c r="AS277" s="86">
        <f t="shared" si="12"/>
        <v>0</v>
      </c>
      <c r="AT277" s="87">
        <f t="shared" si="13"/>
        <v>0</v>
      </c>
      <c r="AU277" s="88">
        <f t="shared" si="81"/>
        <v>0</v>
      </c>
      <c r="AV277" s="89" t="str">
        <f t="shared" si="15"/>
        <v>#VALUE!</v>
      </c>
      <c r="AW277" s="90">
        <f t="shared" si="16"/>
        <v>0</v>
      </c>
      <c r="AY277" s="85">
        <f t="shared" si="17"/>
        <v>1</v>
      </c>
      <c r="AZ277" s="20">
        <f t="shared" si="18"/>
        <v>1</v>
      </c>
      <c r="BA277" s="20">
        <f t="shared" si="19"/>
        <v>1</v>
      </c>
      <c r="BB277" s="91">
        <f t="shared" si="20"/>
        <v>6396.04</v>
      </c>
      <c r="BC277" s="87">
        <f t="shared" si="21"/>
        <v>14564.04</v>
      </c>
      <c r="BD277" s="92">
        <f t="shared" si="22"/>
        <v>8.633333333</v>
      </c>
      <c r="BE277" s="89" t="str">
        <f t="shared" si="23"/>
        <v>#VALUE!</v>
      </c>
      <c r="BF277" s="90" t="str">
        <f t="shared" si="24"/>
        <v>#VALUE!</v>
      </c>
      <c r="BH277" s="93">
        <f t="shared" si="25"/>
        <v>14564.04</v>
      </c>
      <c r="BI277" s="94">
        <f t="shared" si="26"/>
        <v>1</v>
      </c>
      <c r="BJ277" s="95" t="str">
        <f t="shared" si="27"/>
        <v>#VALUE!</v>
      </c>
      <c r="BK277" s="96" t="str">
        <f t="shared" si="28"/>
        <v>#VALUE!</v>
      </c>
      <c r="BM277" s="97">
        <f t="shared" si="29"/>
        <v>1</v>
      </c>
    </row>
    <row r="278" ht="12.75" customHeight="1">
      <c r="A278" s="65"/>
      <c r="B278" s="66" t="s">
        <v>566</v>
      </c>
      <c r="C278" s="67">
        <v>39999.53</v>
      </c>
      <c r="D278" s="68">
        <v>13.0</v>
      </c>
      <c r="E278" s="67">
        <v>36791.22</v>
      </c>
      <c r="F278" s="68" t="s">
        <v>64</v>
      </c>
      <c r="G278" s="69">
        <v>45103.0</v>
      </c>
      <c r="H278" s="71" t="s">
        <v>57</v>
      </c>
      <c r="I278" s="69">
        <v>45198.0</v>
      </c>
      <c r="J278" s="71">
        <f t="shared" si="99"/>
        <v>3.166666667</v>
      </c>
      <c r="K278" s="72" t="s">
        <v>567</v>
      </c>
      <c r="L278" s="72">
        <v>40116.06</v>
      </c>
      <c r="M278" s="73">
        <v>253.37</v>
      </c>
      <c r="N278" s="73">
        <v>6758.620000000001</v>
      </c>
      <c r="O278" s="73">
        <v>1094.12</v>
      </c>
      <c r="P278" s="73">
        <f t="shared" si="70"/>
        <v>0</v>
      </c>
      <c r="Q278" s="73">
        <f t="shared" si="71"/>
        <v>4781.27</v>
      </c>
      <c r="R278" s="74">
        <f t="shared" si="72"/>
        <v>0.1299568212</v>
      </c>
      <c r="S278" s="74">
        <f t="shared" si="73"/>
        <v>0.8700431788</v>
      </c>
      <c r="T278" s="75"/>
      <c r="V278" s="76">
        <v>129.5</v>
      </c>
      <c r="W278" s="77"/>
      <c r="X278" s="77">
        <v>9.07</v>
      </c>
      <c r="Y278" s="77"/>
      <c r="Z278" s="77">
        <f>58.8+106.54+78.96</f>
        <v>244.3</v>
      </c>
      <c r="AA278" s="77">
        <v>0.0</v>
      </c>
      <c r="AB278" s="78">
        <f t="shared" si="118"/>
        <v>382.87</v>
      </c>
      <c r="AC278" s="77">
        <v>36791.22</v>
      </c>
      <c r="AD278" s="79">
        <v>0.0</v>
      </c>
      <c r="AE278" s="80">
        <f t="shared" si="125"/>
        <v>0</v>
      </c>
      <c r="AF278" s="81"/>
      <c r="AG278" s="79"/>
      <c r="AH278" s="80">
        <f t="shared" si="126"/>
        <v>0</v>
      </c>
      <c r="AI278" s="82">
        <f t="shared" si="127"/>
        <v>36791.22</v>
      </c>
      <c r="AJ278" s="82">
        <f t="shared" si="122"/>
        <v>0</v>
      </c>
      <c r="AK278" s="83">
        <f t="shared" si="128"/>
        <v>0</v>
      </c>
      <c r="AL278" s="84">
        <f t="shared" si="124"/>
        <v>253.37</v>
      </c>
      <c r="AP278" s="85">
        <f t="shared" si="9"/>
        <v>0</v>
      </c>
      <c r="AQ278" s="20">
        <f t="shared" si="10"/>
        <v>1</v>
      </c>
      <c r="AR278" s="20">
        <f t="shared" si="11"/>
        <v>0</v>
      </c>
      <c r="AS278" s="86">
        <f t="shared" si="12"/>
        <v>0</v>
      </c>
      <c r="AT278" s="87">
        <f t="shared" si="13"/>
        <v>0</v>
      </c>
      <c r="AU278" s="88">
        <f t="shared" si="81"/>
        <v>0</v>
      </c>
      <c r="AV278" s="89" t="str">
        <f t="shared" si="15"/>
        <v>#VALUE!</v>
      </c>
      <c r="AW278" s="90">
        <f t="shared" si="16"/>
        <v>0</v>
      </c>
      <c r="AY278" s="85">
        <f t="shared" si="17"/>
        <v>1</v>
      </c>
      <c r="AZ278" s="20">
        <f t="shared" si="18"/>
        <v>1</v>
      </c>
      <c r="BA278" s="20">
        <f t="shared" si="19"/>
        <v>1</v>
      </c>
      <c r="BB278" s="91">
        <f t="shared" si="20"/>
        <v>7852.74</v>
      </c>
      <c r="BC278" s="87">
        <f t="shared" si="21"/>
        <v>36791.22</v>
      </c>
      <c r="BD278" s="92">
        <f t="shared" si="22"/>
        <v>3.166666667</v>
      </c>
      <c r="BE278" s="89" t="str">
        <f t="shared" si="23"/>
        <v>#VALUE!</v>
      </c>
      <c r="BF278" s="90" t="str">
        <f t="shared" si="24"/>
        <v>#VALUE!</v>
      </c>
      <c r="BH278" s="93">
        <f t="shared" si="25"/>
        <v>36791.22</v>
      </c>
      <c r="BI278" s="94">
        <f t="shared" si="26"/>
        <v>1</v>
      </c>
      <c r="BJ278" s="95" t="str">
        <f t="shared" si="27"/>
        <v>#VALUE!</v>
      </c>
      <c r="BK278" s="96" t="str">
        <f t="shared" si="28"/>
        <v>#VALUE!</v>
      </c>
      <c r="BM278" s="97">
        <f t="shared" si="29"/>
        <v>1</v>
      </c>
    </row>
    <row r="279" ht="12.75" customHeight="1">
      <c r="A279" s="65"/>
      <c r="B279" s="66" t="s">
        <v>568</v>
      </c>
      <c r="C279" s="67">
        <v>38000.0</v>
      </c>
      <c r="D279" s="68">
        <v>13.0</v>
      </c>
      <c r="E279" s="67">
        <v>16647.15</v>
      </c>
      <c r="F279" s="68" t="s">
        <v>56</v>
      </c>
      <c r="G279" s="69">
        <v>45069.0</v>
      </c>
      <c r="H279" s="70" t="s">
        <v>57</v>
      </c>
      <c r="I279" s="100">
        <v>45468.0</v>
      </c>
      <c r="J279" s="71">
        <f t="shared" si="99"/>
        <v>13.3</v>
      </c>
      <c r="K279" s="98" t="s">
        <v>569</v>
      </c>
      <c r="L279" s="98">
        <v>49500.0</v>
      </c>
      <c r="M279" s="113">
        <v>1500.56</v>
      </c>
      <c r="N279" s="73">
        <v>5586.150000000001</v>
      </c>
      <c r="O279" s="101">
        <v>2485.63</v>
      </c>
      <c r="P279" s="73">
        <f t="shared" si="70"/>
        <v>0</v>
      </c>
      <c r="Q279" s="73">
        <f t="shared" si="71"/>
        <v>0</v>
      </c>
      <c r="R279" s="74">
        <f t="shared" si="72"/>
        <v>0</v>
      </c>
      <c r="S279" s="74">
        <f t="shared" si="73"/>
        <v>1</v>
      </c>
      <c r="T279" s="75"/>
      <c r="V279" s="102">
        <v>370.0</v>
      </c>
      <c r="W279" s="77"/>
      <c r="X279" s="103">
        <v>25.9</v>
      </c>
      <c r="Y279" s="77"/>
      <c r="Z279" s="77">
        <f>159.6+273.6+162</f>
        <v>595.2</v>
      </c>
      <c r="AA279" s="103">
        <v>3418.26</v>
      </c>
      <c r="AB279" s="78">
        <f t="shared" si="118"/>
        <v>4409.36</v>
      </c>
      <c r="AC279" s="103">
        <v>16647.15</v>
      </c>
      <c r="AD279" s="104">
        <v>0.059</v>
      </c>
      <c r="AE279" s="80">
        <f t="shared" si="125"/>
        <v>484.3636521</v>
      </c>
      <c r="AF279" s="105">
        <v>13578.97</v>
      </c>
      <c r="AG279" s="104">
        <v>0.059</v>
      </c>
      <c r="AH279" s="80">
        <f t="shared" si="126"/>
        <v>395.092223</v>
      </c>
      <c r="AI279" s="82">
        <f t="shared" si="127"/>
        <v>30226.12</v>
      </c>
      <c r="AJ279" s="82">
        <f t="shared" si="122"/>
        <v>879.4558751</v>
      </c>
      <c r="AK279" s="83">
        <f t="shared" si="128"/>
        <v>879.4558751</v>
      </c>
      <c r="AL279" s="84">
        <f t="shared" si="124"/>
        <v>1500.555875</v>
      </c>
      <c r="AP279" s="85">
        <f t="shared" si="9"/>
        <v>1</v>
      </c>
      <c r="AQ279" s="20">
        <f t="shared" si="10"/>
        <v>1</v>
      </c>
      <c r="AR279" s="20">
        <f t="shared" si="11"/>
        <v>1</v>
      </c>
      <c r="AS279" s="86">
        <f t="shared" si="12"/>
        <v>8071.78</v>
      </c>
      <c r="AT279" s="87">
        <f t="shared" si="13"/>
        <v>16647.15</v>
      </c>
      <c r="AU279" s="88">
        <f t="shared" si="81"/>
        <v>13.3</v>
      </c>
      <c r="AV279" s="89" t="str">
        <f t="shared" si="15"/>
        <v>#VALUE!</v>
      </c>
      <c r="AW279" s="90" t="str">
        <f t="shared" si="16"/>
        <v>#VALUE!</v>
      </c>
      <c r="AY279" s="85">
        <f t="shared" si="17"/>
        <v>0</v>
      </c>
      <c r="AZ279" s="20">
        <f t="shared" si="18"/>
        <v>1</v>
      </c>
      <c r="BA279" s="20">
        <f t="shared" si="19"/>
        <v>0</v>
      </c>
      <c r="BB279" s="91">
        <f t="shared" si="20"/>
        <v>0</v>
      </c>
      <c r="BC279" s="87">
        <f t="shared" si="21"/>
        <v>0</v>
      </c>
      <c r="BD279" s="92">
        <f t="shared" si="22"/>
        <v>0</v>
      </c>
      <c r="BE279" s="89" t="str">
        <f t="shared" si="23"/>
        <v>#VALUE!</v>
      </c>
      <c r="BF279" s="90">
        <f t="shared" si="24"/>
        <v>0</v>
      </c>
      <c r="BH279" s="93">
        <f t="shared" si="25"/>
        <v>16647.15</v>
      </c>
      <c r="BI279" s="94">
        <f t="shared" si="26"/>
        <v>1</v>
      </c>
      <c r="BJ279" s="95" t="str">
        <f t="shared" si="27"/>
        <v>#VALUE!</v>
      </c>
      <c r="BK279" s="96" t="str">
        <f t="shared" si="28"/>
        <v>#VALUE!</v>
      </c>
      <c r="BM279" s="97">
        <f t="shared" si="29"/>
        <v>1</v>
      </c>
    </row>
    <row r="280" ht="12.75" customHeight="1">
      <c r="A280" s="65"/>
      <c r="B280" s="66" t="s">
        <v>570</v>
      </c>
      <c r="C280" s="67">
        <v>46664.4</v>
      </c>
      <c r="D280" s="68">
        <v>13.0</v>
      </c>
      <c r="E280" s="67">
        <v>37363.47</v>
      </c>
      <c r="F280" s="68" t="s">
        <v>56</v>
      </c>
      <c r="G280" s="69">
        <v>45100.0</v>
      </c>
      <c r="H280" s="70" t="s">
        <v>57</v>
      </c>
      <c r="I280" s="100">
        <v>45442.0</v>
      </c>
      <c r="J280" s="71">
        <f t="shared" si="99"/>
        <v>11.4</v>
      </c>
      <c r="K280" s="98" t="s">
        <v>571</v>
      </c>
      <c r="L280" s="98">
        <v>63450.0</v>
      </c>
      <c r="M280" s="73">
        <v>1009.0118643835617</v>
      </c>
      <c r="N280" s="73">
        <v>10135.73</v>
      </c>
      <c r="O280" s="101">
        <v>3162.15</v>
      </c>
      <c r="P280" s="73">
        <f t="shared" si="70"/>
        <v>0</v>
      </c>
      <c r="Q280" s="73">
        <f t="shared" si="71"/>
        <v>0</v>
      </c>
      <c r="R280" s="74">
        <f t="shared" si="72"/>
        <v>0</v>
      </c>
      <c r="S280" s="74">
        <f t="shared" si="73"/>
        <v>1</v>
      </c>
      <c r="T280" s="75"/>
      <c r="V280" s="102">
        <v>308.0</v>
      </c>
      <c r="W280" s="77"/>
      <c r="X280" s="103">
        <v>21.56</v>
      </c>
      <c r="Y280" s="77"/>
      <c r="Z280" s="77">
        <f>173.88+285.32+205.8</f>
        <v>665</v>
      </c>
      <c r="AA280" s="103">
        <v>1692.41</v>
      </c>
      <c r="AB280" s="78">
        <f t="shared" si="118"/>
        <v>2686.97</v>
      </c>
      <c r="AC280" s="103">
        <v>37363.47</v>
      </c>
      <c r="AD280" s="104">
        <v>0.0175</v>
      </c>
      <c r="AE280" s="80">
        <f t="shared" si="125"/>
        <v>322.4518644</v>
      </c>
      <c r="AF280" s="105"/>
      <c r="AG280" s="79"/>
      <c r="AH280" s="80">
        <f t="shared" si="126"/>
        <v>0</v>
      </c>
      <c r="AI280" s="82">
        <f t="shared" si="127"/>
        <v>37363.47</v>
      </c>
      <c r="AJ280" s="82">
        <f t="shared" si="122"/>
        <v>322.4518644</v>
      </c>
      <c r="AK280" s="83">
        <f t="shared" si="128"/>
        <v>322.4518644</v>
      </c>
      <c r="AL280" s="84">
        <f t="shared" si="124"/>
        <v>1009.011864</v>
      </c>
      <c r="AP280" s="85">
        <f t="shared" si="9"/>
        <v>1</v>
      </c>
      <c r="AQ280" s="20">
        <f t="shared" si="10"/>
        <v>1</v>
      </c>
      <c r="AR280" s="20">
        <f t="shared" si="11"/>
        <v>1</v>
      </c>
      <c r="AS280" s="86">
        <f t="shared" si="12"/>
        <v>13297.88</v>
      </c>
      <c r="AT280" s="87">
        <f t="shared" si="13"/>
        <v>37363.47</v>
      </c>
      <c r="AU280" s="88">
        <f t="shared" si="81"/>
        <v>11.4</v>
      </c>
      <c r="AV280" s="89" t="str">
        <f t="shared" si="15"/>
        <v>#VALUE!</v>
      </c>
      <c r="AW280" s="90" t="str">
        <f t="shared" si="16"/>
        <v>#VALUE!</v>
      </c>
      <c r="AY280" s="85">
        <f t="shared" si="17"/>
        <v>0</v>
      </c>
      <c r="AZ280" s="20">
        <f t="shared" si="18"/>
        <v>1</v>
      </c>
      <c r="BA280" s="20">
        <f t="shared" si="19"/>
        <v>0</v>
      </c>
      <c r="BB280" s="91">
        <f t="shared" si="20"/>
        <v>0</v>
      </c>
      <c r="BC280" s="87">
        <f t="shared" si="21"/>
        <v>0</v>
      </c>
      <c r="BD280" s="92">
        <f t="shared" si="22"/>
        <v>0</v>
      </c>
      <c r="BE280" s="89" t="str">
        <f t="shared" si="23"/>
        <v>#VALUE!</v>
      </c>
      <c r="BF280" s="90">
        <f t="shared" si="24"/>
        <v>0</v>
      </c>
      <c r="BH280" s="93">
        <f t="shared" si="25"/>
        <v>37363.47</v>
      </c>
      <c r="BI280" s="94">
        <f t="shared" si="26"/>
        <v>1</v>
      </c>
      <c r="BJ280" s="95" t="str">
        <f t="shared" si="27"/>
        <v>#VALUE!</v>
      </c>
      <c r="BK280" s="96" t="str">
        <f t="shared" si="28"/>
        <v>#VALUE!</v>
      </c>
      <c r="BM280" s="97">
        <f t="shared" si="29"/>
        <v>1</v>
      </c>
    </row>
    <row r="281" ht="12.75" customHeight="1">
      <c r="A281" s="65"/>
      <c r="B281" s="66" t="s">
        <v>572</v>
      </c>
      <c r="C281" s="67">
        <v>46500.0</v>
      </c>
      <c r="D281" s="68">
        <v>13.0</v>
      </c>
      <c r="E281" s="67">
        <v>37572.94</v>
      </c>
      <c r="F281" s="68" t="s">
        <v>64</v>
      </c>
      <c r="G281" s="69">
        <v>45105.0</v>
      </c>
      <c r="H281" s="70" t="s">
        <v>57</v>
      </c>
      <c r="I281" s="100">
        <v>45442.0</v>
      </c>
      <c r="J281" s="71">
        <f t="shared" si="99"/>
        <v>11.23333333</v>
      </c>
      <c r="K281" s="98" t="s">
        <v>573</v>
      </c>
      <c r="L281" s="98">
        <v>50000.0</v>
      </c>
      <c r="M281" s="114">
        <v>1925.57</v>
      </c>
      <c r="N281" s="73">
        <v>2210.45</v>
      </c>
      <c r="O281" s="101">
        <v>3030.0</v>
      </c>
      <c r="P281" s="73">
        <f t="shared" si="70"/>
        <v>0</v>
      </c>
      <c r="Q281" s="73">
        <f t="shared" si="71"/>
        <v>0</v>
      </c>
      <c r="R281" s="74">
        <f t="shared" si="72"/>
        <v>0</v>
      </c>
      <c r="S281" s="74">
        <f t="shared" si="73"/>
        <v>1</v>
      </c>
      <c r="T281" s="75"/>
      <c r="V281" s="102">
        <v>80.0</v>
      </c>
      <c r="W281" s="77"/>
      <c r="X281" s="103">
        <v>5.6</v>
      </c>
      <c r="Y281" s="103">
        <v>307.78</v>
      </c>
      <c r="Z281" s="77">
        <f>61.8+226+40+80</f>
        <v>407.8</v>
      </c>
      <c r="AA281" s="103">
        <v>2922.36</v>
      </c>
      <c r="AB281" s="78">
        <f t="shared" si="118"/>
        <v>3723.54</v>
      </c>
      <c r="AC281" s="103">
        <v>37572.94</v>
      </c>
      <c r="AD281" s="104">
        <v>0.065</v>
      </c>
      <c r="AE281" s="80">
        <f t="shared" si="125"/>
        <v>1204.392871</v>
      </c>
      <c r="AF281" s="81"/>
      <c r="AG281" s="79"/>
      <c r="AH281" s="80">
        <f t="shared" si="126"/>
        <v>0</v>
      </c>
      <c r="AI281" s="82">
        <f t="shared" si="127"/>
        <v>37572.94</v>
      </c>
      <c r="AJ281" s="82">
        <f t="shared" si="122"/>
        <v>1204.392871</v>
      </c>
      <c r="AK281" s="83">
        <f t="shared" si="128"/>
        <v>1204.392871</v>
      </c>
      <c r="AL281" s="84">
        <f t="shared" si="124"/>
        <v>1925.572871</v>
      </c>
      <c r="AP281" s="85">
        <f t="shared" si="9"/>
        <v>0</v>
      </c>
      <c r="AQ281" s="20">
        <f t="shared" si="10"/>
        <v>1</v>
      </c>
      <c r="AR281" s="20">
        <f t="shared" si="11"/>
        <v>0</v>
      </c>
      <c r="AS281" s="86">
        <f t="shared" si="12"/>
        <v>0</v>
      </c>
      <c r="AT281" s="87">
        <f t="shared" si="13"/>
        <v>0</v>
      </c>
      <c r="AU281" s="88">
        <f t="shared" si="81"/>
        <v>0</v>
      </c>
      <c r="AV281" s="89" t="str">
        <f t="shared" si="15"/>
        <v>#VALUE!</v>
      </c>
      <c r="AW281" s="90">
        <f t="shared" si="16"/>
        <v>0</v>
      </c>
      <c r="AY281" s="85">
        <f t="shared" si="17"/>
        <v>1</v>
      </c>
      <c r="AZ281" s="20">
        <f t="shared" si="18"/>
        <v>1</v>
      </c>
      <c r="BA281" s="20">
        <f t="shared" si="19"/>
        <v>1</v>
      </c>
      <c r="BB281" s="91">
        <f t="shared" si="20"/>
        <v>5240.45</v>
      </c>
      <c r="BC281" s="87">
        <f t="shared" si="21"/>
        <v>37572.94</v>
      </c>
      <c r="BD281" s="92">
        <f t="shared" si="22"/>
        <v>11.23333333</v>
      </c>
      <c r="BE281" s="89" t="str">
        <f t="shared" si="23"/>
        <v>#VALUE!</v>
      </c>
      <c r="BF281" s="90" t="str">
        <f t="shared" si="24"/>
        <v>#VALUE!</v>
      </c>
      <c r="BH281" s="93">
        <f t="shared" si="25"/>
        <v>37572.94</v>
      </c>
      <c r="BI281" s="94">
        <f t="shared" si="26"/>
        <v>1</v>
      </c>
      <c r="BJ281" s="95" t="str">
        <f t="shared" si="27"/>
        <v>#VALUE!</v>
      </c>
      <c r="BK281" s="96" t="str">
        <f t="shared" si="28"/>
        <v>#VALUE!</v>
      </c>
      <c r="BM281" s="97">
        <f t="shared" si="29"/>
        <v>1</v>
      </c>
    </row>
    <row r="282" ht="12.75" customHeight="1">
      <c r="A282" s="65"/>
      <c r="B282" s="66" t="s">
        <v>574</v>
      </c>
      <c r="C282" s="67">
        <v>49500.0</v>
      </c>
      <c r="D282" s="68">
        <v>13.0</v>
      </c>
      <c r="E282" s="67">
        <v>42770.1</v>
      </c>
      <c r="F282" s="68" t="s">
        <v>64</v>
      </c>
      <c r="G282" s="69">
        <v>45106.0</v>
      </c>
      <c r="H282" s="71" t="s">
        <v>57</v>
      </c>
      <c r="I282" s="69">
        <v>45169.0</v>
      </c>
      <c r="J282" s="71">
        <f t="shared" si="99"/>
        <v>2.1</v>
      </c>
      <c r="K282" s="72" t="s">
        <v>575</v>
      </c>
      <c r="L282" s="72">
        <v>50000.0</v>
      </c>
      <c r="M282" s="73">
        <v>1421.45</v>
      </c>
      <c r="N282" s="73">
        <v>4610.55</v>
      </c>
      <c r="O282" s="73">
        <v>2005.0</v>
      </c>
      <c r="P282" s="73">
        <f t="shared" si="70"/>
        <v>0</v>
      </c>
      <c r="Q282" s="73">
        <f t="shared" si="71"/>
        <v>807.1</v>
      </c>
      <c r="R282" s="74">
        <f t="shared" si="72"/>
        <v>0.01887065964</v>
      </c>
      <c r="S282" s="74">
        <f t="shared" si="73"/>
        <v>0.9811293404</v>
      </c>
      <c r="T282" s="75"/>
      <c r="V282" s="76">
        <f>111</f>
        <v>111</v>
      </c>
      <c r="W282" s="77"/>
      <c r="X282" s="77">
        <f>7.77</f>
        <v>7.77</v>
      </c>
      <c r="Y282" s="77"/>
      <c r="Z282" s="77">
        <f>62.4+59.4+79.08</f>
        <v>200.88</v>
      </c>
      <c r="AA282" s="77">
        <v>2430.13</v>
      </c>
      <c r="AB282" s="78">
        <f t="shared" si="118"/>
        <v>2749.78</v>
      </c>
      <c r="AC282" s="77">
        <v>30310.28</v>
      </c>
      <c r="AD282" s="79">
        <v>0.0575</v>
      </c>
      <c r="AE282" s="80">
        <f t="shared" si="125"/>
        <v>859.4832822</v>
      </c>
      <c r="AF282" s="81">
        <v>12459.82</v>
      </c>
      <c r="AG282" s="79">
        <v>0.0575</v>
      </c>
      <c r="AH282" s="80">
        <f t="shared" si="126"/>
        <v>353.3127041</v>
      </c>
      <c r="AI282" s="82">
        <f t="shared" si="127"/>
        <v>42770.1</v>
      </c>
      <c r="AJ282" s="82">
        <f t="shared" si="122"/>
        <v>1212.795986</v>
      </c>
      <c r="AK282" s="83">
        <f t="shared" si="128"/>
        <v>1212.795986</v>
      </c>
      <c r="AL282" s="84">
        <f t="shared" si="124"/>
        <v>1421.445986</v>
      </c>
      <c r="AP282" s="85">
        <f t="shared" si="9"/>
        <v>0</v>
      </c>
      <c r="AQ282" s="20">
        <f t="shared" si="10"/>
        <v>1</v>
      </c>
      <c r="AR282" s="20">
        <f t="shared" si="11"/>
        <v>0</v>
      </c>
      <c r="AS282" s="86">
        <f t="shared" si="12"/>
        <v>0</v>
      </c>
      <c r="AT282" s="87">
        <f t="shared" si="13"/>
        <v>0</v>
      </c>
      <c r="AU282" s="88">
        <f t="shared" si="81"/>
        <v>0</v>
      </c>
      <c r="AV282" s="89" t="str">
        <f t="shared" si="15"/>
        <v>#VALUE!</v>
      </c>
      <c r="AW282" s="90">
        <f t="shared" si="16"/>
        <v>0</v>
      </c>
      <c r="AY282" s="85">
        <f t="shared" si="17"/>
        <v>1</v>
      </c>
      <c r="AZ282" s="20">
        <f t="shared" si="18"/>
        <v>1</v>
      </c>
      <c r="BA282" s="20">
        <f t="shared" si="19"/>
        <v>1</v>
      </c>
      <c r="BB282" s="91">
        <f t="shared" si="20"/>
        <v>6615.55</v>
      </c>
      <c r="BC282" s="87">
        <f t="shared" si="21"/>
        <v>42770.1</v>
      </c>
      <c r="BD282" s="92">
        <f t="shared" si="22"/>
        <v>2.1</v>
      </c>
      <c r="BE282" s="89" t="str">
        <f t="shared" si="23"/>
        <v>#VALUE!</v>
      </c>
      <c r="BF282" s="90" t="str">
        <f t="shared" si="24"/>
        <v>#VALUE!</v>
      </c>
      <c r="BH282" s="93">
        <f t="shared" si="25"/>
        <v>42770.1</v>
      </c>
      <c r="BI282" s="94">
        <f t="shared" si="26"/>
        <v>1</v>
      </c>
      <c r="BJ282" s="95" t="str">
        <f t="shared" si="27"/>
        <v>#VALUE!</v>
      </c>
      <c r="BK282" s="96" t="str">
        <f t="shared" si="28"/>
        <v>#VALUE!</v>
      </c>
      <c r="BM282" s="97">
        <f t="shared" si="29"/>
        <v>1</v>
      </c>
    </row>
    <row r="283" ht="12.75" customHeight="1">
      <c r="A283" s="65"/>
      <c r="B283" s="66" t="s">
        <v>576</v>
      </c>
      <c r="C283" s="67">
        <v>50000.0</v>
      </c>
      <c r="D283" s="68">
        <v>13.0</v>
      </c>
      <c r="E283" s="67">
        <v>37278.55</v>
      </c>
      <c r="F283" s="68" t="s">
        <v>64</v>
      </c>
      <c r="G283" s="69">
        <v>45138.0</v>
      </c>
      <c r="H283" s="71" t="s">
        <v>57</v>
      </c>
      <c r="I283" s="69">
        <v>45246.0</v>
      </c>
      <c r="J283" s="71">
        <f t="shared" si="99"/>
        <v>3.6</v>
      </c>
      <c r="K283" s="72" t="s">
        <v>577</v>
      </c>
      <c r="L283" s="72">
        <v>40778.55</v>
      </c>
      <c r="M283" s="73">
        <v>582.29</v>
      </c>
      <c r="N283" s="73">
        <v>7048.08</v>
      </c>
      <c r="O283" s="73">
        <v>1907.38</v>
      </c>
      <c r="P283" s="73">
        <f t="shared" si="70"/>
        <v>0</v>
      </c>
      <c r="Q283" s="73">
        <f t="shared" si="71"/>
        <v>6037.75</v>
      </c>
      <c r="R283" s="74">
        <f t="shared" si="72"/>
        <v>0.1619631128</v>
      </c>
      <c r="S283" s="74">
        <f t="shared" si="73"/>
        <v>0.8380368872</v>
      </c>
      <c r="T283" s="75"/>
      <c r="V283" s="76">
        <v>203.5</v>
      </c>
      <c r="W283" s="77"/>
      <c r="X283" s="77">
        <v>14.25</v>
      </c>
      <c r="Y283" s="77"/>
      <c r="Z283" s="77">
        <f>115.5+92.4+137.28</f>
        <v>345.18</v>
      </c>
      <c r="AA283" s="77">
        <v>1024.9</v>
      </c>
      <c r="AB283" s="78">
        <f t="shared" si="118"/>
        <v>1587.83</v>
      </c>
      <c r="AC283" s="77">
        <v>37278.55</v>
      </c>
      <c r="AD283" s="79">
        <v>0.015</v>
      </c>
      <c r="AE283" s="80">
        <f t="shared" si="125"/>
        <v>275.759137</v>
      </c>
      <c r="AF283" s="81"/>
      <c r="AG283" s="79"/>
      <c r="AH283" s="80"/>
      <c r="AI283" s="82">
        <f t="shared" si="127"/>
        <v>37278.55</v>
      </c>
      <c r="AJ283" s="82">
        <f t="shared" si="122"/>
        <v>275.759137</v>
      </c>
      <c r="AK283" s="83">
        <f t="shared" si="128"/>
        <v>275.759137</v>
      </c>
      <c r="AL283" s="84">
        <f t="shared" si="124"/>
        <v>635.189137</v>
      </c>
      <c r="AM283" s="23">
        <v>237.11</v>
      </c>
      <c r="AN283" s="111">
        <f>AM283+Z283</f>
        <v>582.29</v>
      </c>
      <c r="AP283" s="85">
        <f t="shared" si="9"/>
        <v>0</v>
      </c>
      <c r="AQ283" s="20">
        <f t="shared" si="10"/>
        <v>1</v>
      </c>
      <c r="AR283" s="20">
        <f t="shared" si="11"/>
        <v>0</v>
      </c>
      <c r="AS283" s="86">
        <f t="shared" si="12"/>
        <v>0</v>
      </c>
      <c r="AT283" s="87">
        <f t="shared" si="13"/>
        <v>0</v>
      </c>
      <c r="AU283" s="88">
        <f t="shared" si="81"/>
        <v>0</v>
      </c>
      <c r="AV283" s="89" t="str">
        <f t="shared" si="15"/>
        <v>#VALUE!</v>
      </c>
      <c r="AW283" s="90">
        <f t="shared" si="16"/>
        <v>0</v>
      </c>
      <c r="AY283" s="85">
        <f t="shared" si="17"/>
        <v>1</v>
      </c>
      <c r="AZ283" s="20">
        <f t="shared" si="18"/>
        <v>1</v>
      </c>
      <c r="BA283" s="20">
        <f t="shared" si="19"/>
        <v>1</v>
      </c>
      <c r="BB283" s="91">
        <f t="shared" si="20"/>
        <v>8955.46</v>
      </c>
      <c r="BC283" s="87">
        <f t="shared" si="21"/>
        <v>37278.55</v>
      </c>
      <c r="BD283" s="92">
        <f t="shared" si="22"/>
        <v>3.6</v>
      </c>
      <c r="BE283" s="89" t="str">
        <f t="shared" si="23"/>
        <v>#VALUE!</v>
      </c>
      <c r="BF283" s="90" t="str">
        <f t="shared" si="24"/>
        <v>#VALUE!</v>
      </c>
      <c r="BH283" s="93">
        <f t="shared" si="25"/>
        <v>37278.55</v>
      </c>
      <c r="BI283" s="94">
        <f t="shared" si="26"/>
        <v>1</v>
      </c>
      <c r="BJ283" s="95" t="str">
        <f t="shared" si="27"/>
        <v>#VALUE!</v>
      </c>
      <c r="BK283" s="96" t="str">
        <f t="shared" si="28"/>
        <v>#VALUE!</v>
      </c>
      <c r="BM283" s="97">
        <f t="shared" si="29"/>
        <v>1</v>
      </c>
    </row>
    <row r="284" ht="12.75" customHeight="1">
      <c r="A284" s="65"/>
      <c r="B284" s="66" t="s">
        <v>578</v>
      </c>
      <c r="C284" s="67">
        <v>54995.0</v>
      </c>
      <c r="D284" s="68">
        <v>13.0</v>
      </c>
      <c r="E284" s="67">
        <v>41974.96</v>
      </c>
      <c r="F284" s="68" t="s">
        <v>64</v>
      </c>
      <c r="G284" s="69">
        <v>45138.0</v>
      </c>
      <c r="H284" s="70" t="s">
        <v>57</v>
      </c>
      <c r="I284" s="100">
        <v>45623.0</v>
      </c>
      <c r="J284" s="71">
        <f t="shared" si="99"/>
        <v>16.16666667</v>
      </c>
      <c r="K284" s="98" t="s">
        <v>579</v>
      </c>
      <c r="L284" s="98">
        <v>50000.0</v>
      </c>
      <c r="M284" s="73">
        <v>587.5099999999999</v>
      </c>
      <c r="N284" s="73">
        <v>8035.18</v>
      </c>
      <c r="O284" s="101">
        <v>2061.51</v>
      </c>
      <c r="P284" s="73">
        <f t="shared" si="70"/>
        <v>0</v>
      </c>
      <c r="Q284" s="73">
        <f t="shared" si="71"/>
        <v>2659.16</v>
      </c>
      <c r="R284" s="74">
        <f t="shared" si="72"/>
        <v>0.06335110266</v>
      </c>
      <c r="S284" s="74">
        <f t="shared" si="73"/>
        <v>0.9366488973</v>
      </c>
      <c r="T284" s="75"/>
      <c r="V284" s="76"/>
      <c r="W284" s="77"/>
      <c r="X284" s="77"/>
      <c r="Y284" s="77"/>
      <c r="Z284" s="77"/>
      <c r="AA284" s="77"/>
      <c r="AB284" s="78"/>
      <c r="AC284" s="77"/>
      <c r="AD284" s="79"/>
      <c r="AE284" s="80"/>
      <c r="AF284" s="81"/>
      <c r="AG284" s="79"/>
      <c r="AH284" s="80"/>
      <c r="AI284" s="82"/>
      <c r="AJ284" s="82"/>
      <c r="AK284" s="83"/>
      <c r="AL284" s="84"/>
      <c r="AP284" s="85">
        <f t="shared" si="9"/>
        <v>0</v>
      </c>
      <c r="AQ284" s="20">
        <f t="shared" si="10"/>
        <v>1</v>
      </c>
      <c r="AR284" s="20">
        <f t="shared" si="11"/>
        <v>0</v>
      </c>
      <c r="AS284" s="86">
        <f t="shared" si="12"/>
        <v>0</v>
      </c>
      <c r="AT284" s="87">
        <f t="shared" si="13"/>
        <v>0</v>
      </c>
      <c r="AU284" s="88">
        <f t="shared" si="81"/>
        <v>0</v>
      </c>
      <c r="AV284" s="89" t="str">
        <f t="shared" si="15"/>
        <v>#VALUE!</v>
      </c>
      <c r="AW284" s="90">
        <f t="shared" si="16"/>
        <v>0</v>
      </c>
      <c r="AY284" s="85">
        <f t="shared" si="17"/>
        <v>1</v>
      </c>
      <c r="AZ284" s="20">
        <f t="shared" si="18"/>
        <v>1</v>
      </c>
      <c r="BA284" s="20">
        <f t="shared" si="19"/>
        <v>1</v>
      </c>
      <c r="BB284" s="91">
        <f t="shared" si="20"/>
        <v>10096.69</v>
      </c>
      <c r="BC284" s="87">
        <f t="shared" si="21"/>
        <v>41974.96</v>
      </c>
      <c r="BD284" s="92">
        <f t="shared" si="22"/>
        <v>16.16666667</v>
      </c>
      <c r="BE284" s="89" t="str">
        <f t="shared" si="23"/>
        <v>#VALUE!</v>
      </c>
      <c r="BF284" s="90" t="str">
        <f t="shared" si="24"/>
        <v>#VALUE!</v>
      </c>
      <c r="BH284" s="93">
        <f t="shared" si="25"/>
        <v>41974.96</v>
      </c>
      <c r="BI284" s="94">
        <f t="shared" si="26"/>
        <v>1</v>
      </c>
      <c r="BJ284" s="95" t="str">
        <f t="shared" si="27"/>
        <v>#VALUE!</v>
      </c>
      <c r="BK284" s="96" t="str">
        <f t="shared" si="28"/>
        <v>#VALUE!</v>
      </c>
      <c r="BM284" s="97">
        <f t="shared" si="29"/>
        <v>1</v>
      </c>
    </row>
    <row r="285" ht="12.75" customHeight="1">
      <c r="A285" s="65"/>
      <c r="B285" s="66" t="s">
        <v>580</v>
      </c>
      <c r="C285" s="67">
        <v>49995.0</v>
      </c>
      <c r="D285" s="68">
        <v>13.0</v>
      </c>
      <c r="E285" s="67">
        <v>37466.32</v>
      </c>
      <c r="F285" s="68" t="s">
        <v>64</v>
      </c>
      <c r="G285" s="69">
        <v>45138.0</v>
      </c>
      <c r="H285" s="71" t="s">
        <v>57</v>
      </c>
      <c r="I285" s="69">
        <v>45168.0</v>
      </c>
      <c r="J285" s="71">
        <f t="shared" si="99"/>
        <v>1</v>
      </c>
      <c r="K285" s="72" t="s">
        <v>581</v>
      </c>
      <c r="L285" s="72">
        <v>52000.0</v>
      </c>
      <c r="M285" s="73">
        <v>488.19</v>
      </c>
      <c r="N285" s="73">
        <v>4848.92</v>
      </c>
      <c r="O285" s="73">
        <v>0.0</v>
      </c>
      <c r="P285" s="73">
        <f t="shared" si="70"/>
        <v>0</v>
      </c>
      <c r="Q285" s="73">
        <f t="shared" si="71"/>
        <v>0</v>
      </c>
      <c r="R285" s="74">
        <f t="shared" si="72"/>
        <v>0</v>
      </c>
      <c r="S285" s="74">
        <f t="shared" si="73"/>
        <v>1</v>
      </c>
      <c r="T285" s="75"/>
      <c r="V285" s="76">
        <v>69.44</v>
      </c>
      <c r="W285" s="77"/>
      <c r="X285" s="77">
        <v>4.86</v>
      </c>
      <c r="Y285" s="77"/>
      <c r="Z285" s="77">
        <f>31.5+105.24+69.44</f>
        <v>206.18</v>
      </c>
      <c r="AA285" s="77">
        <v>608.89</v>
      </c>
      <c r="AB285" s="78">
        <f t="shared" ref="AB285:AB287" si="129">AA285+Z285+Y285+X285+V285+W285</f>
        <v>889.37</v>
      </c>
      <c r="AC285" s="77">
        <v>37466.32</v>
      </c>
      <c r="AD285" s="79">
        <v>0.015</v>
      </c>
      <c r="AE285" s="80">
        <f t="shared" ref="AE285:AE287" si="130">((AC285*AD285)/365)*180</f>
        <v>277.1481205</v>
      </c>
      <c r="AF285" s="81"/>
      <c r="AG285" s="79"/>
      <c r="AH285" s="80">
        <f>((AF285*AG285)/365)*180</f>
        <v>0</v>
      </c>
      <c r="AI285" s="82">
        <f>AC285+AF285</f>
        <v>37466.32</v>
      </c>
      <c r="AJ285" s="82">
        <f t="shared" ref="AJ285:AJ287" si="131">AE285+AH285</f>
        <v>277.1481205</v>
      </c>
      <c r="AK285" s="83">
        <f t="shared" ref="AK285:AK287" si="132">IF(AJ285&lt;AA285,AJ285,AA285)</f>
        <v>277.1481205</v>
      </c>
      <c r="AL285" s="84">
        <f t="shared" ref="AL285:AL287" si="133">W285+X285+Y285+Z285+AK285</f>
        <v>488.1881205</v>
      </c>
      <c r="AP285" s="85">
        <f t="shared" si="9"/>
        <v>0</v>
      </c>
      <c r="AQ285" s="20">
        <f t="shared" si="10"/>
        <v>1</v>
      </c>
      <c r="AR285" s="20">
        <f t="shared" si="11"/>
        <v>0</v>
      </c>
      <c r="AS285" s="86">
        <f t="shared" si="12"/>
        <v>0</v>
      </c>
      <c r="AT285" s="87">
        <f t="shared" si="13"/>
        <v>0</v>
      </c>
      <c r="AU285" s="88">
        <f t="shared" si="81"/>
        <v>0</v>
      </c>
      <c r="AV285" s="89" t="str">
        <f t="shared" si="15"/>
        <v>#VALUE!</v>
      </c>
      <c r="AW285" s="90">
        <f t="shared" si="16"/>
        <v>0</v>
      </c>
      <c r="AY285" s="85">
        <f t="shared" si="17"/>
        <v>1</v>
      </c>
      <c r="AZ285" s="20">
        <f t="shared" si="18"/>
        <v>1</v>
      </c>
      <c r="BA285" s="20">
        <f t="shared" si="19"/>
        <v>1</v>
      </c>
      <c r="BB285" s="91">
        <f t="shared" si="20"/>
        <v>4848.92</v>
      </c>
      <c r="BC285" s="87">
        <f t="shared" si="21"/>
        <v>37466.32</v>
      </c>
      <c r="BD285" s="92">
        <f t="shared" si="22"/>
        <v>1</v>
      </c>
      <c r="BE285" s="89" t="str">
        <f t="shared" si="23"/>
        <v>#VALUE!</v>
      </c>
      <c r="BF285" s="90" t="str">
        <f t="shared" si="24"/>
        <v>#VALUE!</v>
      </c>
      <c r="BH285" s="93">
        <f t="shared" si="25"/>
        <v>37466.32</v>
      </c>
      <c r="BI285" s="94">
        <f t="shared" si="26"/>
        <v>1</v>
      </c>
      <c r="BJ285" s="95" t="str">
        <f t="shared" si="27"/>
        <v>#VALUE!</v>
      </c>
      <c r="BK285" s="96" t="str">
        <f t="shared" si="28"/>
        <v>#VALUE!</v>
      </c>
      <c r="BM285" s="97">
        <f t="shared" si="29"/>
        <v>1</v>
      </c>
    </row>
    <row r="286" ht="12.75" customHeight="1">
      <c r="A286" s="65"/>
      <c r="B286" s="66" t="s">
        <v>582</v>
      </c>
      <c r="C286" s="67">
        <v>28900.0</v>
      </c>
      <c r="D286" s="68">
        <v>13.0</v>
      </c>
      <c r="E286" s="67">
        <v>16265.11</v>
      </c>
      <c r="F286" s="68" t="s">
        <v>64</v>
      </c>
      <c r="G286" s="69">
        <v>45138.0</v>
      </c>
      <c r="H286" s="71" t="s">
        <v>57</v>
      </c>
      <c r="I286" s="69">
        <v>45391.0</v>
      </c>
      <c r="J286" s="71">
        <f t="shared" si="99"/>
        <v>8.433333333</v>
      </c>
      <c r="K286" s="72" t="s">
        <v>583</v>
      </c>
      <c r="L286" s="72">
        <v>40000.0</v>
      </c>
      <c r="M286" s="73">
        <v>522.15</v>
      </c>
      <c r="N286" s="110">
        <v>5053.799999999999</v>
      </c>
      <c r="O286" s="73">
        <v>2499.11</v>
      </c>
      <c r="P286" s="73">
        <f t="shared" si="70"/>
        <v>0</v>
      </c>
      <c r="Q286" s="73">
        <f t="shared" si="71"/>
        <v>0</v>
      </c>
      <c r="R286" s="74">
        <f t="shared" si="72"/>
        <v>0</v>
      </c>
      <c r="S286" s="74">
        <f t="shared" si="73"/>
        <v>1</v>
      </c>
      <c r="T286" s="75"/>
      <c r="V286" s="76">
        <v>224.0</v>
      </c>
      <c r="W286" s="77"/>
      <c r="X286" s="77">
        <v>15.68</v>
      </c>
      <c r="Y286" s="77"/>
      <c r="Z286" s="77">
        <f>107.52+78.12+99.4</f>
        <v>285.04</v>
      </c>
      <c r="AA286" s="77"/>
      <c r="AB286" s="78">
        <f t="shared" si="129"/>
        <v>524.72</v>
      </c>
      <c r="AC286" s="77">
        <v>16265.11</v>
      </c>
      <c r="AD286" s="79">
        <v>0.0</v>
      </c>
      <c r="AE286" s="80">
        <f t="shared" si="130"/>
        <v>0</v>
      </c>
      <c r="AF286" s="81"/>
      <c r="AG286" s="79"/>
      <c r="AH286" s="80"/>
      <c r="AI286" s="82"/>
      <c r="AJ286" s="82">
        <f t="shared" si="131"/>
        <v>0</v>
      </c>
      <c r="AK286" s="83" t="str">
        <f t="shared" si="132"/>
        <v/>
      </c>
      <c r="AL286" s="84">
        <f t="shared" si="133"/>
        <v>300.72</v>
      </c>
      <c r="AM286" s="23">
        <v>237.11</v>
      </c>
      <c r="AN286" s="111">
        <f t="shared" ref="AN286:AN287" si="134">AM286+Z286</f>
        <v>522.15</v>
      </c>
      <c r="AP286" s="85">
        <f t="shared" si="9"/>
        <v>0</v>
      </c>
      <c r="AQ286" s="20">
        <f t="shared" si="10"/>
        <v>1</v>
      </c>
      <c r="AR286" s="20">
        <f t="shared" si="11"/>
        <v>0</v>
      </c>
      <c r="AS286" s="86">
        <f t="shared" si="12"/>
        <v>0</v>
      </c>
      <c r="AT286" s="87">
        <f t="shared" si="13"/>
        <v>0</v>
      </c>
      <c r="AU286" s="88">
        <f t="shared" si="81"/>
        <v>0</v>
      </c>
      <c r="AV286" s="89" t="str">
        <f t="shared" si="15"/>
        <v>#VALUE!</v>
      </c>
      <c r="AW286" s="90">
        <f t="shared" si="16"/>
        <v>0</v>
      </c>
      <c r="AY286" s="85">
        <f t="shared" si="17"/>
        <v>1</v>
      </c>
      <c r="AZ286" s="20">
        <f t="shared" si="18"/>
        <v>1</v>
      </c>
      <c r="BA286" s="20">
        <f t="shared" si="19"/>
        <v>1</v>
      </c>
      <c r="BB286" s="91">
        <f t="shared" si="20"/>
        <v>7552.91</v>
      </c>
      <c r="BC286" s="87">
        <f t="shared" si="21"/>
        <v>16265.11</v>
      </c>
      <c r="BD286" s="92">
        <f t="shared" si="22"/>
        <v>8.433333333</v>
      </c>
      <c r="BE286" s="89" t="str">
        <f t="shared" si="23"/>
        <v>#VALUE!</v>
      </c>
      <c r="BF286" s="90" t="str">
        <f t="shared" si="24"/>
        <v>#VALUE!</v>
      </c>
      <c r="BH286" s="93">
        <f t="shared" si="25"/>
        <v>16265.11</v>
      </c>
      <c r="BI286" s="94">
        <f t="shared" si="26"/>
        <v>1</v>
      </c>
      <c r="BJ286" s="95" t="str">
        <f t="shared" si="27"/>
        <v>#VALUE!</v>
      </c>
      <c r="BK286" s="96" t="str">
        <f t="shared" si="28"/>
        <v>#VALUE!</v>
      </c>
      <c r="BM286" s="97">
        <f t="shared" si="29"/>
        <v>1</v>
      </c>
    </row>
    <row r="287" ht="12.75" customHeight="1">
      <c r="A287" s="65"/>
      <c r="B287" s="66" t="s">
        <v>584</v>
      </c>
      <c r="C287" s="67">
        <v>39997.86</v>
      </c>
      <c r="D287" s="68">
        <v>13.0</v>
      </c>
      <c r="E287" s="67">
        <v>34279.01</v>
      </c>
      <c r="F287" s="68" t="s">
        <v>56</v>
      </c>
      <c r="G287" s="69">
        <v>45099.0</v>
      </c>
      <c r="H287" s="71" t="s">
        <v>57</v>
      </c>
      <c r="I287" s="69">
        <v>45136.0</v>
      </c>
      <c r="J287" s="71">
        <f t="shared" si="99"/>
        <v>1.233333333</v>
      </c>
      <c r="K287" s="72" t="s">
        <v>585</v>
      </c>
      <c r="L287" s="72">
        <v>45000.0</v>
      </c>
      <c r="M287" s="73">
        <v>764.8599999999999</v>
      </c>
      <c r="N287" s="73">
        <v>5655.7</v>
      </c>
      <c r="O287" s="73">
        <v>0.0</v>
      </c>
      <c r="P287" s="73">
        <f t="shared" si="70"/>
        <v>0</v>
      </c>
      <c r="Q287" s="73">
        <f t="shared" si="71"/>
        <v>0</v>
      </c>
      <c r="R287" s="74">
        <f t="shared" si="72"/>
        <v>0</v>
      </c>
      <c r="S287" s="74">
        <f t="shared" si="73"/>
        <v>1</v>
      </c>
      <c r="T287" s="75"/>
      <c r="V287" s="76">
        <v>474.0</v>
      </c>
      <c r="W287" s="77"/>
      <c r="X287" s="77">
        <v>33.18</v>
      </c>
      <c r="Y287" s="77"/>
      <c r="Z287" s="77">
        <f>109.2+155.2+226</f>
        <v>490.4</v>
      </c>
      <c r="AA287" s="77">
        <v>286.67</v>
      </c>
      <c r="AB287" s="78">
        <f t="shared" si="129"/>
        <v>1284.25</v>
      </c>
      <c r="AC287" s="77">
        <v>34279.01</v>
      </c>
      <c r="AD287" s="79">
        <v>0.0025</v>
      </c>
      <c r="AE287" s="80">
        <f t="shared" si="130"/>
        <v>42.26179315</v>
      </c>
      <c r="AF287" s="81"/>
      <c r="AG287" s="79"/>
      <c r="AH287" s="80">
        <f>((AF287*AG287)/365)*180</f>
        <v>0</v>
      </c>
      <c r="AI287" s="82">
        <f>AC287+AF287</f>
        <v>34279.01</v>
      </c>
      <c r="AJ287" s="82">
        <f t="shared" si="131"/>
        <v>42.26179315</v>
      </c>
      <c r="AK287" s="83">
        <f t="shared" si="132"/>
        <v>42.26179315</v>
      </c>
      <c r="AL287" s="84">
        <f t="shared" si="133"/>
        <v>565.8417932</v>
      </c>
      <c r="AM287" s="23">
        <v>274.46</v>
      </c>
      <c r="AN287" s="111">
        <f t="shared" si="134"/>
        <v>764.86</v>
      </c>
      <c r="AP287" s="85">
        <f t="shared" si="9"/>
        <v>1</v>
      </c>
      <c r="AQ287" s="20">
        <f t="shared" si="10"/>
        <v>1</v>
      </c>
      <c r="AR287" s="20">
        <f t="shared" si="11"/>
        <v>1</v>
      </c>
      <c r="AS287" s="86">
        <f t="shared" si="12"/>
        <v>5655.7</v>
      </c>
      <c r="AT287" s="87">
        <f t="shared" si="13"/>
        <v>34279.01</v>
      </c>
      <c r="AU287" s="88">
        <f t="shared" si="81"/>
        <v>1.233333333</v>
      </c>
      <c r="AV287" s="89" t="str">
        <f t="shared" si="15"/>
        <v>#VALUE!</v>
      </c>
      <c r="AW287" s="90" t="str">
        <f t="shared" si="16"/>
        <v>#VALUE!</v>
      </c>
      <c r="AY287" s="85">
        <f t="shared" si="17"/>
        <v>0</v>
      </c>
      <c r="AZ287" s="20">
        <f t="shared" si="18"/>
        <v>1</v>
      </c>
      <c r="BA287" s="20">
        <f t="shared" si="19"/>
        <v>0</v>
      </c>
      <c r="BB287" s="91">
        <f t="shared" si="20"/>
        <v>0</v>
      </c>
      <c r="BC287" s="87">
        <f t="shared" si="21"/>
        <v>0</v>
      </c>
      <c r="BD287" s="92">
        <f t="shared" si="22"/>
        <v>0</v>
      </c>
      <c r="BE287" s="89" t="str">
        <f t="shared" si="23"/>
        <v>#VALUE!</v>
      </c>
      <c r="BF287" s="90">
        <f t="shared" si="24"/>
        <v>0</v>
      </c>
      <c r="BH287" s="93">
        <f t="shared" si="25"/>
        <v>34279.01</v>
      </c>
      <c r="BI287" s="94">
        <f t="shared" si="26"/>
        <v>1</v>
      </c>
      <c r="BJ287" s="95" t="str">
        <f t="shared" si="27"/>
        <v>#VALUE!</v>
      </c>
      <c r="BK287" s="96" t="str">
        <f t="shared" si="28"/>
        <v>#VALUE!</v>
      </c>
      <c r="BM287" s="97">
        <f t="shared" si="29"/>
        <v>1</v>
      </c>
    </row>
    <row r="288" ht="12.75" customHeight="1">
      <c r="A288" s="65"/>
      <c r="B288" s="66" t="s">
        <v>586</v>
      </c>
      <c r="C288" s="67">
        <v>42500.0</v>
      </c>
      <c r="D288" s="68">
        <v>13.0</v>
      </c>
      <c r="E288" s="67">
        <v>39869.13</v>
      </c>
      <c r="F288" s="68" t="s">
        <v>64</v>
      </c>
      <c r="G288" s="69">
        <v>45351.0</v>
      </c>
      <c r="H288" s="70" t="s">
        <v>57</v>
      </c>
      <c r="I288" s="100">
        <v>45588.0</v>
      </c>
      <c r="J288" s="71">
        <f t="shared" si="99"/>
        <v>7.9</v>
      </c>
      <c r="K288" s="98" t="s">
        <v>587</v>
      </c>
      <c r="L288" s="98">
        <v>45000.0</v>
      </c>
      <c r="M288" s="73">
        <v>1275.81</v>
      </c>
      <c r="N288" s="73">
        <v>7841.4400000000005</v>
      </c>
      <c r="O288" s="101">
        <v>2787.84</v>
      </c>
      <c r="P288" s="73">
        <f t="shared" si="70"/>
        <v>0</v>
      </c>
      <c r="Q288" s="73">
        <f t="shared" si="71"/>
        <v>6774.22</v>
      </c>
      <c r="R288" s="74">
        <f t="shared" si="72"/>
        <v>0.1699114076</v>
      </c>
      <c r="S288" s="74">
        <f t="shared" si="73"/>
        <v>0.8300885924</v>
      </c>
      <c r="T288" s="75"/>
      <c r="V288" s="76"/>
      <c r="W288" s="77"/>
      <c r="X288" s="77"/>
      <c r="Y288" s="77"/>
      <c r="Z288" s="77"/>
      <c r="AA288" s="77"/>
      <c r="AB288" s="78"/>
      <c r="AC288" s="77"/>
      <c r="AD288" s="79"/>
      <c r="AE288" s="80"/>
      <c r="AF288" s="81"/>
      <c r="AG288" s="79"/>
      <c r="AH288" s="80"/>
      <c r="AI288" s="82"/>
      <c r="AJ288" s="82"/>
      <c r="AK288" s="83"/>
      <c r="AL288" s="84"/>
      <c r="AP288" s="85">
        <f t="shared" si="9"/>
        <v>0</v>
      </c>
      <c r="AQ288" s="20">
        <f t="shared" si="10"/>
        <v>1</v>
      </c>
      <c r="AR288" s="20">
        <f t="shared" si="11"/>
        <v>0</v>
      </c>
      <c r="AS288" s="86">
        <f t="shared" si="12"/>
        <v>0</v>
      </c>
      <c r="AT288" s="87">
        <f t="shared" si="13"/>
        <v>0</v>
      </c>
      <c r="AU288" s="88">
        <f t="shared" si="81"/>
        <v>0</v>
      </c>
      <c r="AV288" s="89" t="str">
        <f t="shared" si="15"/>
        <v>#VALUE!</v>
      </c>
      <c r="AW288" s="90">
        <f t="shared" si="16"/>
        <v>0</v>
      </c>
      <c r="AY288" s="85">
        <f t="shared" si="17"/>
        <v>1</v>
      </c>
      <c r="AZ288" s="20">
        <f t="shared" si="18"/>
        <v>1</v>
      </c>
      <c r="BA288" s="20">
        <f t="shared" si="19"/>
        <v>1</v>
      </c>
      <c r="BB288" s="91">
        <f t="shared" si="20"/>
        <v>10629.28</v>
      </c>
      <c r="BC288" s="87">
        <f t="shared" si="21"/>
        <v>39869.13</v>
      </c>
      <c r="BD288" s="92">
        <f t="shared" si="22"/>
        <v>7.9</v>
      </c>
      <c r="BE288" s="89" t="str">
        <f t="shared" si="23"/>
        <v>#VALUE!</v>
      </c>
      <c r="BF288" s="90" t="str">
        <f t="shared" si="24"/>
        <v>#VALUE!</v>
      </c>
      <c r="BH288" s="93">
        <f t="shared" si="25"/>
        <v>39869.13</v>
      </c>
      <c r="BI288" s="94">
        <f t="shared" si="26"/>
        <v>1</v>
      </c>
      <c r="BJ288" s="95" t="str">
        <f t="shared" si="27"/>
        <v>#VALUE!</v>
      </c>
      <c r="BK288" s="96" t="str">
        <f t="shared" si="28"/>
        <v>#VALUE!</v>
      </c>
      <c r="BM288" s="97">
        <f t="shared" si="29"/>
        <v>1</v>
      </c>
    </row>
    <row r="289" ht="12.75" customHeight="1">
      <c r="A289" s="65"/>
      <c r="B289" s="66" t="s">
        <v>588</v>
      </c>
      <c r="C289" s="67">
        <v>50000.0</v>
      </c>
      <c r="D289" s="68">
        <v>13.0</v>
      </c>
      <c r="E289" s="67">
        <v>34515.65</v>
      </c>
      <c r="F289" s="68" t="s">
        <v>64</v>
      </c>
      <c r="G289" s="69">
        <v>45141.0</v>
      </c>
      <c r="H289" s="71" t="s">
        <v>57</v>
      </c>
      <c r="I289" s="69">
        <v>45246.0</v>
      </c>
      <c r="J289" s="71">
        <f t="shared" si="99"/>
        <v>3.5</v>
      </c>
      <c r="K289" s="72" t="s">
        <v>589</v>
      </c>
      <c r="L289" s="72">
        <v>45000.0</v>
      </c>
      <c r="M289" s="73">
        <v>919.3600000000001</v>
      </c>
      <c r="N289" s="73">
        <v>6062.28</v>
      </c>
      <c r="O289" s="101">
        <v>120.0</v>
      </c>
      <c r="P289" s="73">
        <f t="shared" si="70"/>
        <v>0</v>
      </c>
      <c r="Q289" s="73">
        <f t="shared" si="71"/>
        <v>0</v>
      </c>
      <c r="R289" s="74">
        <f t="shared" si="72"/>
        <v>0</v>
      </c>
      <c r="S289" s="74">
        <f t="shared" si="73"/>
        <v>1</v>
      </c>
      <c r="T289" s="75"/>
      <c r="V289" s="76">
        <v>157.25</v>
      </c>
      <c r="W289" s="77"/>
      <c r="X289" s="77">
        <v>11.01</v>
      </c>
      <c r="Y289" s="77"/>
      <c r="Z289" s="77">
        <f>89.25+137.53+106.76</f>
        <v>333.54</v>
      </c>
      <c r="AA289" s="77">
        <v>835.7</v>
      </c>
      <c r="AB289" s="78">
        <f>AA289+Z289+Y289+X289+V289+W289</f>
        <v>1337.5</v>
      </c>
      <c r="AC289" s="77">
        <v>34515.65</v>
      </c>
      <c r="AD289" s="79">
        <v>0.0175</v>
      </c>
      <c r="AE289" s="80">
        <f>((AC289*AD289)/365)*180</f>
        <v>297.8747877</v>
      </c>
      <c r="AF289" s="81"/>
      <c r="AG289" s="79"/>
      <c r="AH289" s="80">
        <f>((AF289*AG289)/365)*180</f>
        <v>0</v>
      </c>
      <c r="AI289" s="82">
        <f>AC289+AF289</f>
        <v>34515.65</v>
      </c>
      <c r="AJ289" s="82">
        <f>AE289+AH289</f>
        <v>297.8747877</v>
      </c>
      <c r="AK289" s="83">
        <f>IF(AJ289&lt;AA289,AJ289,AA289)</f>
        <v>297.8747877</v>
      </c>
      <c r="AL289" s="84">
        <f>W289+X289+Y289+Z289+AK289</f>
        <v>642.4247877</v>
      </c>
      <c r="AM289" s="23">
        <v>585.82</v>
      </c>
      <c r="AN289" s="111">
        <f>AM289+Z289</f>
        <v>919.36</v>
      </c>
      <c r="AP289" s="85">
        <f t="shared" si="9"/>
        <v>0</v>
      </c>
      <c r="AQ289" s="20">
        <f t="shared" si="10"/>
        <v>1</v>
      </c>
      <c r="AR289" s="20">
        <f t="shared" si="11"/>
        <v>0</v>
      </c>
      <c r="AS289" s="86">
        <f t="shared" si="12"/>
        <v>0</v>
      </c>
      <c r="AT289" s="87">
        <f t="shared" si="13"/>
        <v>0</v>
      </c>
      <c r="AU289" s="88">
        <f t="shared" si="81"/>
        <v>0</v>
      </c>
      <c r="AV289" s="89" t="str">
        <f t="shared" si="15"/>
        <v>#VALUE!</v>
      </c>
      <c r="AW289" s="90">
        <f t="shared" si="16"/>
        <v>0</v>
      </c>
      <c r="AY289" s="85">
        <f t="shared" si="17"/>
        <v>1</v>
      </c>
      <c r="AZ289" s="20">
        <f t="shared" si="18"/>
        <v>1</v>
      </c>
      <c r="BA289" s="20">
        <f t="shared" si="19"/>
        <v>1</v>
      </c>
      <c r="BB289" s="91">
        <f t="shared" si="20"/>
        <v>6182.28</v>
      </c>
      <c r="BC289" s="87">
        <f t="shared" si="21"/>
        <v>34515.65</v>
      </c>
      <c r="BD289" s="92">
        <f t="shared" si="22"/>
        <v>3.5</v>
      </c>
      <c r="BE289" s="89" t="str">
        <f t="shared" si="23"/>
        <v>#VALUE!</v>
      </c>
      <c r="BF289" s="90" t="str">
        <f t="shared" si="24"/>
        <v>#VALUE!</v>
      </c>
      <c r="BH289" s="93">
        <f t="shared" si="25"/>
        <v>34515.65</v>
      </c>
      <c r="BI289" s="94">
        <f t="shared" si="26"/>
        <v>1</v>
      </c>
      <c r="BJ289" s="95" t="str">
        <f t="shared" si="27"/>
        <v>#VALUE!</v>
      </c>
      <c r="BK289" s="96" t="str">
        <f t="shared" si="28"/>
        <v>#VALUE!</v>
      </c>
      <c r="BM289" s="97">
        <f t="shared" si="29"/>
        <v>1</v>
      </c>
    </row>
    <row r="290" ht="12.75" customHeight="1">
      <c r="A290" s="65"/>
      <c r="B290" s="66" t="s">
        <v>590</v>
      </c>
      <c r="C290" s="67">
        <v>49500.0</v>
      </c>
      <c r="D290" s="68">
        <v>13.0</v>
      </c>
      <c r="E290" s="67">
        <v>45302.1</v>
      </c>
      <c r="F290" s="68" t="s">
        <v>64</v>
      </c>
      <c r="G290" s="69">
        <v>45210.0</v>
      </c>
      <c r="H290" s="70" t="s">
        <v>57</v>
      </c>
      <c r="I290" s="100">
        <v>45442.0</v>
      </c>
      <c r="J290" s="71">
        <f t="shared" si="99"/>
        <v>7.733333333</v>
      </c>
      <c r="K290" s="98" t="s">
        <v>591</v>
      </c>
      <c r="L290" s="98">
        <v>49000.0</v>
      </c>
      <c r="M290" s="73">
        <v>1374.8100000000002</v>
      </c>
      <c r="N290" s="110">
        <v>7172.740000000001</v>
      </c>
      <c r="O290" s="101">
        <v>1698.56</v>
      </c>
      <c r="P290" s="73">
        <f t="shared" si="70"/>
        <v>0</v>
      </c>
      <c r="Q290" s="73">
        <f t="shared" si="71"/>
        <v>6548.21</v>
      </c>
      <c r="R290" s="74">
        <f t="shared" si="72"/>
        <v>0.1445453964</v>
      </c>
      <c r="S290" s="74">
        <f t="shared" si="73"/>
        <v>0.8554546036</v>
      </c>
      <c r="T290" s="75"/>
      <c r="V290" s="76"/>
      <c r="W290" s="77"/>
      <c r="X290" s="77"/>
      <c r="Y290" s="77"/>
      <c r="Z290" s="77"/>
      <c r="AA290" s="77"/>
      <c r="AB290" s="78"/>
      <c r="AC290" s="77"/>
      <c r="AD290" s="79"/>
      <c r="AE290" s="80"/>
      <c r="AF290" s="81"/>
      <c r="AG290" s="79"/>
      <c r="AH290" s="80"/>
      <c r="AI290" s="82"/>
      <c r="AJ290" s="82"/>
      <c r="AK290" s="83"/>
      <c r="AL290" s="84"/>
      <c r="AP290" s="85">
        <f t="shared" si="9"/>
        <v>0</v>
      </c>
      <c r="AQ290" s="20">
        <f t="shared" si="10"/>
        <v>1</v>
      </c>
      <c r="AR290" s="20">
        <f t="shared" si="11"/>
        <v>0</v>
      </c>
      <c r="AS290" s="86">
        <f t="shared" si="12"/>
        <v>0</v>
      </c>
      <c r="AT290" s="87">
        <f t="shared" si="13"/>
        <v>0</v>
      </c>
      <c r="AU290" s="88">
        <f t="shared" si="81"/>
        <v>0</v>
      </c>
      <c r="AV290" s="89" t="str">
        <f t="shared" si="15"/>
        <v>#VALUE!</v>
      </c>
      <c r="AW290" s="90">
        <f t="shared" si="16"/>
        <v>0</v>
      </c>
      <c r="AY290" s="85">
        <f t="shared" si="17"/>
        <v>1</v>
      </c>
      <c r="AZ290" s="20">
        <f t="shared" si="18"/>
        <v>1</v>
      </c>
      <c r="BA290" s="20">
        <f t="shared" si="19"/>
        <v>1</v>
      </c>
      <c r="BB290" s="91">
        <f t="shared" si="20"/>
        <v>8871.3</v>
      </c>
      <c r="BC290" s="87">
        <f t="shared" si="21"/>
        <v>45302.1</v>
      </c>
      <c r="BD290" s="92">
        <f t="shared" si="22"/>
        <v>7.733333333</v>
      </c>
      <c r="BE290" s="89" t="str">
        <f t="shared" si="23"/>
        <v>#VALUE!</v>
      </c>
      <c r="BF290" s="90" t="str">
        <f t="shared" si="24"/>
        <v>#VALUE!</v>
      </c>
      <c r="BH290" s="93">
        <f t="shared" si="25"/>
        <v>45302.1</v>
      </c>
      <c r="BI290" s="94">
        <f t="shared" si="26"/>
        <v>1</v>
      </c>
      <c r="BJ290" s="95" t="str">
        <f t="shared" si="27"/>
        <v>#VALUE!</v>
      </c>
      <c r="BK290" s="96" t="str">
        <f t="shared" si="28"/>
        <v>#VALUE!</v>
      </c>
      <c r="BM290" s="97">
        <f t="shared" si="29"/>
        <v>1</v>
      </c>
    </row>
    <row r="291" ht="12.75" customHeight="1">
      <c r="A291" s="65"/>
      <c r="B291" s="66" t="s">
        <v>592</v>
      </c>
      <c r="C291" s="67">
        <v>40500.0</v>
      </c>
      <c r="D291" s="68">
        <v>13.0</v>
      </c>
      <c r="E291" s="67">
        <v>40068.86</v>
      </c>
      <c r="F291" s="68" t="s">
        <v>56</v>
      </c>
      <c r="G291" s="69">
        <v>44679.0</v>
      </c>
      <c r="H291" s="71" t="s">
        <v>57</v>
      </c>
      <c r="I291" s="69">
        <v>45411.0</v>
      </c>
      <c r="J291" s="71">
        <f t="shared" si="99"/>
        <v>24.4</v>
      </c>
      <c r="K291" s="98" t="s">
        <v>593</v>
      </c>
      <c r="L291" s="98">
        <v>50000.0</v>
      </c>
      <c r="M291" s="73">
        <v>678.5698219178083</v>
      </c>
      <c r="N291" s="73">
        <v>10146.3</v>
      </c>
      <c r="O291" s="73">
        <v>4317.76</v>
      </c>
      <c r="P291" s="73">
        <f t="shared" si="70"/>
        <v>0</v>
      </c>
      <c r="Q291" s="73">
        <f t="shared" si="71"/>
        <v>5211.489822</v>
      </c>
      <c r="R291" s="74">
        <f t="shared" si="72"/>
        <v>0.1300633415</v>
      </c>
      <c r="S291" s="74">
        <f t="shared" si="73"/>
        <v>0.8699366585</v>
      </c>
      <c r="T291" s="75"/>
      <c r="V291" s="76">
        <v>407.0</v>
      </c>
      <c r="W291" s="77"/>
      <c r="X291" s="77">
        <v>28.49</v>
      </c>
      <c r="Y291" s="77"/>
      <c r="Z291" s="77">
        <f>10.5+118.9+273.68</f>
        <v>403.08</v>
      </c>
      <c r="AA291" s="77">
        <v>1815.45</v>
      </c>
      <c r="AB291" s="78">
        <f t="shared" ref="AB291:AB295" si="135">AA291+Z291+Y291+X291+V291+W291</f>
        <v>2654.02</v>
      </c>
      <c r="AC291" s="77">
        <v>40068.86</v>
      </c>
      <c r="AD291" s="79">
        <v>0.0125</v>
      </c>
      <c r="AE291" s="80">
        <f t="shared" ref="AE291:AE295" si="136">((AC291*AD291)/365)*180</f>
        <v>246.9998219</v>
      </c>
      <c r="AF291" s="81"/>
      <c r="AG291" s="79"/>
      <c r="AH291" s="80"/>
      <c r="AI291" s="82"/>
      <c r="AJ291" s="82">
        <f t="shared" ref="AJ291:AJ295" si="137">AE291+AH291</f>
        <v>246.9998219</v>
      </c>
      <c r="AK291" s="83">
        <f t="shared" ref="AK291:AK295" si="138">IF(AJ291&lt;AA291,AJ291,AA291)</f>
        <v>246.9998219</v>
      </c>
      <c r="AL291" s="84">
        <f t="shared" ref="AL291:AL295" si="139">W291+X291+Y291+Z291+AK291</f>
        <v>678.5698219</v>
      </c>
      <c r="AP291" s="85">
        <f t="shared" si="9"/>
        <v>1</v>
      </c>
      <c r="AQ291" s="20">
        <f t="shared" si="10"/>
        <v>1</v>
      </c>
      <c r="AR291" s="20">
        <f t="shared" si="11"/>
        <v>1</v>
      </c>
      <c r="AS291" s="86">
        <f t="shared" si="12"/>
        <v>14464.06</v>
      </c>
      <c r="AT291" s="87">
        <f t="shared" si="13"/>
        <v>40068.86</v>
      </c>
      <c r="AU291" s="88">
        <f t="shared" si="81"/>
        <v>24.4</v>
      </c>
      <c r="AV291" s="89" t="str">
        <f t="shared" si="15"/>
        <v>#VALUE!</v>
      </c>
      <c r="AW291" s="90" t="str">
        <f t="shared" si="16"/>
        <v>#VALUE!</v>
      </c>
      <c r="AY291" s="85">
        <f t="shared" si="17"/>
        <v>0</v>
      </c>
      <c r="AZ291" s="20">
        <f t="shared" si="18"/>
        <v>1</v>
      </c>
      <c r="BA291" s="20">
        <f t="shared" si="19"/>
        <v>0</v>
      </c>
      <c r="BB291" s="91">
        <f t="shared" si="20"/>
        <v>0</v>
      </c>
      <c r="BC291" s="87">
        <f t="shared" si="21"/>
        <v>0</v>
      </c>
      <c r="BD291" s="92">
        <f t="shared" si="22"/>
        <v>0</v>
      </c>
      <c r="BE291" s="89" t="str">
        <f t="shared" si="23"/>
        <v>#VALUE!</v>
      </c>
      <c r="BF291" s="90">
        <f t="shared" si="24"/>
        <v>0</v>
      </c>
      <c r="BH291" s="93">
        <f t="shared" si="25"/>
        <v>40068.86</v>
      </c>
      <c r="BI291" s="94">
        <f t="shared" si="26"/>
        <v>1</v>
      </c>
      <c r="BJ291" s="95" t="str">
        <f t="shared" si="27"/>
        <v>#VALUE!</v>
      </c>
      <c r="BK291" s="96" t="str">
        <f t="shared" si="28"/>
        <v>#VALUE!</v>
      </c>
      <c r="BM291" s="97">
        <f t="shared" si="29"/>
        <v>1</v>
      </c>
    </row>
    <row r="292" ht="12.75" customHeight="1">
      <c r="A292" s="65"/>
      <c r="B292" s="66" t="s">
        <v>594</v>
      </c>
      <c r="C292" s="67">
        <v>40000.0</v>
      </c>
      <c r="D292" s="68">
        <v>13.0</v>
      </c>
      <c r="E292" s="67">
        <v>29418.93</v>
      </c>
      <c r="F292" s="68" t="s">
        <v>64</v>
      </c>
      <c r="G292" s="69">
        <v>45162.0</v>
      </c>
      <c r="H292" s="71" t="s">
        <v>57</v>
      </c>
      <c r="I292" s="69">
        <v>45288.0</v>
      </c>
      <c r="J292" s="71">
        <f t="shared" si="99"/>
        <v>4.2</v>
      </c>
      <c r="K292" s="72" t="s">
        <v>595</v>
      </c>
      <c r="L292" s="72">
        <v>49000.0</v>
      </c>
      <c r="M292" s="73">
        <v>189.51</v>
      </c>
      <c r="N292" s="73">
        <v>10437.87</v>
      </c>
      <c r="O292" s="73">
        <v>1689.42</v>
      </c>
      <c r="P292" s="73">
        <f t="shared" si="70"/>
        <v>0</v>
      </c>
      <c r="Q292" s="73">
        <f t="shared" si="71"/>
        <v>0</v>
      </c>
      <c r="R292" s="74">
        <f t="shared" si="72"/>
        <v>0</v>
      </c>
      <c r="S292" s="74">
        <f t="shared" si="73"/>
        <v>1</v>
      </c>
      <c r="T292" s="75"/>
      <c r="V292" s="76">
        <v>101.75</v>
      </c>
      <c r="W292" s="77"/>
      <c r="X292" s="77">
        <v>7.12</v>
      </c>
      <c r="Y292" s="77"/>
      <c r="Z292" s="77">
        <f>46.2+40.92+55.44</f>
        <v>142.56</v>
      </c>
      <c r="AA292" s="77">
        <v>77.95</v>
      </c>
      <c r="AB292" s="78">
        <f t="shared" si="135"/>
        <v>329.38</v>
      </c>
      <c r="AC292" s="77">
        <v>29418.93</v>
      </c>
      <c r="AD292" s="79">
        <v>0.0025</v>
      </c>
      <c r="AE292" s="80">
        <f t="shared" si="136"/>
        <v>36.2699137</v>
      </c>
      <c r="AF292" s="81"/>
      <c r="AG292" s="79"/>
      <c r="AH292" s="80">
        <f t="shared" ref="AH292:AH295" si="140">((AF292*AG292)/365)*180</f>
        <v>0</v>
      </c>
      <c r="AI292" s="82">
        <f t="shared" ref="AI292:AI295" si="141">AC292+AF292</f>
        <v>29418.93</v>
      </c>
      <c r="AJ292" s="82">
        <f t="shared" si="137"/>
        <v>36.2699137</v>
      </c>
      <c r="AK292" s="83">
        <f t="shared" si="138"/>
        <v>36.2699137</v>
      </c>
      <c r="AL292" s="84">
        <f t="shared" si="139"/>
        <v>185.9499137</v>
      </c>
      <c r="AM292" s="23">
        <v>46.95</v>
      </c>
      <c r="AN292" s="111">
        <f>AM292+Z292</f>
        <v>189.51</v>
      </c>
      <c r="AP292" s="85">
        <f t="shared" si="9"/>
        <v>0</v>
      </c>
      <c r="AQ292" s="20">
        <f t="shared" si="10"/>
        <v>1</v>
      </c>
      <c r="AR292" s="20">
        <f t="shared" si="11"/>
        <v>0</v>
      </c>
      <c r="AS292" s="86">
        <f t="shared" si="12"/>
        <v>0</v>
      </c>
      <c r="AT292" s="87">
        <f t="shared" si="13"/>
        <v>0</v>
      </c>
      <c r="AU292" s="88">
        <f t="shared" si="81"/>
        <v>0</v>
      </c>
      <c r="AV292" s="89" t="str">
        <f t="shared" si="15"/>
        <v>#VALUE!</v>
      </c>
      <c r="AW292" s="90">
        <f t="shared" si="16"/>
        <v>0</v>
      </c>
      <c r="AY292" s="85">
        <f t="shared" si="17"/>
        <v>1</v>
      </c>
      <c r="AZ292" s="20">
        <f t="shared" si="18"/>
        <v>1</v>
      </c>
      <c r="BA292" s="20">
        <f t="shared" si="19"/>
        <v>1</v>
      </c>
      <c r="BB292" s="91">
        <f t="shared" si="20"/>
        <v>12127.29</v>
      </c>
      <c r="BC292" s="87">
        <f t="shared" si="21"/>
        <v>29418.93</v>
      </c>
      <c r="BD292" s="92">
        <f t="shared" si="22"/>
        <v>4.2</v>
      </c>
      <c r="BE292" s="89" t="str">
        <f t="shared" si="23"/>
        <v>#VALUE!</v>
      </c>
      <c r="BF292" s="90" t="str">
        <f t="shared" si="24"/>
        <v>#VALUE!</v>
      </c>
      <c r="BH292" s="93">
        <f t="shared" si="25"/>
        <v>29418.93</v>
      </c>
      <c r="BI292" s="94">
        <f t="shared" si="26"/>
        <v>1</v>
      </c>
      <c r="BJ292" s="95" t="str">
        <f t="shared" si="27"/>
        <v>#VALUE!</v>
      </c>
      <c r="BK292" s="96" t="str">
        <f t="shared" si="28"/>
        <v>#VALUE!</v>
      </c>
      <c r="BM292" s="97">
        <f t="shared" si="29"/>
        <v>1</v>
      </c>
    </row>
    <row r="293" ht="12.75" customHeight="1">
      <c r="A293" s="65"/>
      <c r="B293" s="66" t="s">
        <v>596</v>
      </c>
      <c r="C293" s="67">
        <v>50000.0</v>
      </c>
      <c r="D293" s="68">
        <v>13.0</v>
      </c>
      <c r="E293" s="67">
        <v>35790.37</v>
      </c>
      <c r="F293" s="68" t="s">
        <v>64</v>
      </c>
      <c r="G293" s="69">
        <v>45162.0</v>
      </c>
      <c r="H293" s="71" t="s">
        <v>57</v>
      </c>
      <c r="I293" s="69">
        <v>45288.0</v>
      </c>
      <c r="J293" s="71">
        <f t="shared" si="99"/>
        <v>4.2</v>
      </c>
      <c r="K293" s="72" t="s">
        <v>597</v>
      </c>
      <c r="L293" s="72">
        <v>57600.0</v>
      </c>
      <c r="M293" s="73">
        <v>13.73</v>
      </c>
      <c r="N293" s="73">
        <v>5180.28</v>
      </c>
      <c r="O293" s="73">
        <v>2415.87</v>
      </c>
      <c r="P293" s="73">
        <f t="shared" si="70"/>
        <v>0</v>
      </c>
      <c r="Q293" s="73">
        <f t="shared" si="71"/>
        <v>0</v>
      </c>
      <c r="R293" s="74">
        <f t="shared" si="72"/>
        <v>0</v>
      </c>
      <c r="S293" s="74">
        <f t="shared" si="73"/>
        <v>1</v>
      </c>
      <c r="T293" s="75"/>
      <c r="V293" s="76"/>
      <c r="W293" s="77"/>
      <c r="X293" s="77"/>
      <c r="Y293" s="77"/>
      <c r="Z293" s="77"/>
      <c r="AA293" s="77">
        <v>13.73</v>
      </c>
      <c r="AB293" s="78">
        <f t="shared" si="135"/>
        <v>13.73</v>
      </c>
      <c r="AC293" s="77">
        <v>35790.37</v>
      </c>
      <c r="AD293" s="79">
        <v>0.0175</v>
      </c>
      <c r="AE293" s="80">
        <f t="shared" si="136"/>
        <v>308.8757959</v>
      </c>
      <c r="AF293" s="81"/>
      <c r="AG293" s="79"/>
      <c r="AH293" s="80">
        <f t="shared" si="140"/>
        <v>0</v>
      </c>
      <c r="AI293" s="82">
        <f t="shared" si="141"/>
        <v>35790.37</v>
      </c>
      <c r="AJ293" s="82">
        <f t="shared" si="137"/>
        <v>308.8757959</v>
      </c>
      <c r="AK293" s="83">
        <f t="shared" si="138"/>
        <v>13.73</v>
      </c>
      <c r="AL293" s="84">
        <f t="shared" si="139"/>
        <v>13.73</v>
      </c>
      <c r="AP293" s="85">
        <f t="shared" si="9"/>
        <v>0</v>
      </c>
      <c r="AQ293" s="20">
        <f t="shared" si="10"/>
        <v>1</v>
      </c>
      <c r="AR293" s="20">
        <f t="shared" si="11"/>
        <v>0</v>
      </c>
      <c r="AS293" s="86">
        <f t="shared" si="12"/>
        <v>0</v>
      </c>
      <c r="AT293" s="87">
        <f t="shared" si="13"/>
        <v>0</v>
      </c>
      <c r="AU293" s="88">
        <f t="shared" si="81"/>
        <v>0</v>
      </c>
      <c r="AV293" s="89" t="str">
        <f t="shared" si="15"/>
        <v>#VALUE!</v>
      </c>
      <c r="AW293" s="90">
        <f t="shared" si="16"/>
        <v>0</v>
      </c>
      <c r="AY293" s="85">
        <f t="shared" si="17"/>
        <v>1</v>
      </c>
      <c r="AZ293" s="20">
        <f t="shared" si="18"/>
        <v>1</v>
      </c>
      <c r="BA293" s="20">
        <f t="shared" si="19"/>
        <v>1</v>
      </c>
      <c r="BB293" s="91">
        <f t="shared" si="20"/>
        <v>7596.15</v>
      </c>
      <c r="BC293" s="87">
        <f t="shared" si="21"/>
        <v>35790.37</v>
      </c>
      <c r="BD293" s="92">
        <f t="shared" si="22"/>
        <v>4.2</v>
      </c>
      <c r="BE293" s="89" t="str">
        <f t="shared" si="23"/>
        <v>#VALUE!</v>
      </c>
      <c r="BF293" s="90" t="str">
        <f t="shared" si="24"/>
        <v>#VALUE!</v>
      </c>
      <c r="BH293" s="93">
        <f t="shared" si="25"/>
        <v>35790.37</v>
      </c>
      <c r="BI293" s="94">
        <f t="shared" si="26"/>
        <v>1</v>
      </c>
      <c r="BJ293" s="95" t="str">
        <f t="shared" si="27"/>
        <v>#VALUE!</v>
      </c>
      <c r="BK293" s="96" t="str">
        <f t="shared" si="28"/>
        <v>#VALUE!</v>
      </c>
      <c r="BM293" s="97">
        <f t="shared" si="29"/>
        <v>1</v>
      </c>
    </row>
    <row r="294" ht="12.75" customHeight="1">
      <c r="A294" s="65"/>
      <c r="B294" s="66" t="s">
        <v>598</v>
      </c>
      <c r="C294" s="67">
        <v>43600.0</v>
      </c>
      <c r="D294" s="68">
        <v>13.0</v>
      </c>
      <c r="E294" s="67">
        <v>33099.99</v>
      </c>
      <c r="F294" s="68" t="s">
        <v>56</v>
      </c>
      <c r="G294" s="69">
        <v>45175.0</v>
      </c>
      <c r="H294" s="71" t="s">
        <v>57</v>
      </c>
      <c r="I294" s="69">
        <v>45198.0</v>
      </c>
      <c r="J294" s="71">
        <f t="shared" si="99"/>
        <v>0.7666666667</v>
      </c>
      <c r="K294" s="72" t="s">
        <v>541</v>
      </c>
      <c r="L294" s="72">
        <v>60300.0</v>
      </c>
      <c r="M294" s="73">
        <v>2368.74</v>
      </c>
      <c r="N294" s="73">
        <v>3289.4</v>
      </c>
      <c r="O294" s="73">
        <v>1094.12</v>
      </c>
      <c r="P294" s="73">
        <f t="shared" si="70"/>
        <v>0</v>
      </c>
      <c r="Q294" s="73">
        <f t="shared" si="71"/>
        <v>0</v>
      </c>
      <c r="R294" s="74">
        <f t="shared" si="72"/>
        <v>0</v>
      </c>
      <c r="S294" s="74">
        <f t="shared" si="73"/>
        <v>1</v>
      </c>
      <c r="T294" s="75"/>
      <c r="V294" s="76"/>
      <c r="W294" s="77"/>
      <c r="X294" s="77"/>
      <c r="Y294" s="77">
        <v>163.6</v>
      </c>
      <c r="Z294" s="77"/>
      <c r="AA294" s="103">
        <v>2205.14</v>
      </c>
      <c r="AB294" s="78">
        <f t="shared" si="135"/>
        <v>2368.74</v>
      </c>
      <c r="AC294" s="77">
        <v>21002.04</v>
      </c>
      <c r="AD294" s="79">
        <v>0.065</v>
      </c>
      <c r="AE294" s="80">
        <f t="shared" si="136"/>
        <v>673.2160767</v>
      </c>
      <c r="AF294" s="81">
        <v>12087.95</v>
      </c>
      <c r="AG294" s="79">
        <v>0.07</v>
      </c>
      <c r="AH294" s="80">
        <f t="shared" si="140"/>
        <v>417.2826575</v>
      </c>
      <c r="AI294" s="82">
        <f t="shared" si="141"/>
        <v>33089.99</v>
      </c>
      <c r="AJ294" s="82">
        <f t="shared" si="137"/>
        <v>1090.498734</v>
      </c>
      <c r="AK294" s="83">
        <f t="shared" si="138"/>
        <v>1090.498734</v>
      </c>
      <c r="AL294" s="84">
        <f t="shared" si="139"/>
        <v>1254.098734</v>
      </c>
      <c r="AN294" s="111">
        <f t="shared" ref="AN294:AN295" si="142">AB294</f>
        <v>2368.74</v>
      </c>
      <c r="AP294" s="85">
        <f t="shared" si="9"/>
        <v>1</v>
      </c>
      <c r="AQ294" s="20">
        <f t="shared" si="10"/>
        <v>1</v>
      </c>
      <c r="AR294" s="20">
        <f t="shared" si="11"/>
        <v>1</v>
      </c>
      <c r="AS294" s="86">
        <f t="shared" si="12"/>
        <v>4383.52</v>
      </c>
      <c r="AT294" s="87">
        <f t="shared" si="13"/>
        <v>33099.99</v>
      </c>
      <c r="AU294" s="88">
        <f t="shared" si="81"/>
        <v>0.7666666667</v>
      </c>
      <c r="AV294" s="89" t="str">
        <f t="shared" si="15"/>
        <v>#VALUE!</v>
      </c>
      <c r="AW294" s="90" t="str">
        <f t="shared" si="16"/>
        <v>#VALUE!</v>
      </c>
      <c r="AY294" s="85">
        <f t="shared" si="17"/>
        <v>0</v>
      </c>
      <c r="AZ294" s="20">
        <f t="shared" si="18"/>
        <v>1</v>
      </c>
      <c r="BA294" s="20">
        <f t="shared" si="19"/>
        <v>0</v>
      </c>
      <c r="BB294" s="91">
        <f t="shared" si="20"/>
        <v>0</v>
      </c>
      <c r="BC294" s="87">
        <f t="shared" si="21"/>
        <v>0</v>
      </c>
      <c r="BD294" s="92">
        <f t="shared" si="22"/>
        <v>0</v>
      </c>
      <c r="BE294" s="89" t="str">
        <f t="shared" si="23"/>
        <v>#VALUE!</v>
      </c>
      <c r="BF294" s="90">
        <f t="shared" si="24"/>
        <v>0</v>
      </c>
      <c r="BH294" s="93">
        <f t="shared" si="25"/>
        <v>33099.99</v>
      </c>
      <c r="BI294" s="94">
        <f t="shared" si="26"/>
        <v>1</v>
      </c>
      <c r="BJ294" s="95" t="str">
        <f t="shared" si="27"/>
        <v>#VALUE!</v>
      </c>
      <c r="BK294" s="96" t="str">
        <f t="shared" si="28"/>
        <v>#VALUE!</v>
      </c>
      <c r="BM294" s="97">
        <f t="shared" si="29"/>
        <v>1</v>
      </c>
    </row>
    <row r="295" ht="12.75" customHeight="1">
      <c r="A295" s="65"/>
      <c r="B295" s="66" t="s">
        <v>599</v>
      </c>
      <c r="C295" s="67">
        <v>40000.0</v>
      </c>
      <c r="D295" s="68">
        <v>13.0</v>
      </c>
      <c r="E295" s="67">
        <v>28499.74</v>
      </c>
      <c r="F295" s="68" t="s">
        <v>56</v>
      </c>
      <c r="G295" s="69">
        <v>45177.0</v>
      </c>
      <c r="H295" s="71" t="s">
        <v>57</v>
      </c>
      <c r="I295" s="69">
        <v>45198.0</v>
      </c>
      <c r="J295" s="71">
        <f t="shared" si="99"/>
        <v>0.7</v>
      </c>
      <c r="K295" s="72" t="s">
        <v>567</v>
      </c>
      <c r="L295" s="72">
        <v>40116.06</v>
      </c>
      <c r="M295" s="73">
        <v>731.56</v>
      </c>
      <c r="N295" s="73">
        <v>7495.2699999999995</v>
      </c>
      <c r="O295" s="73">
        <v>2643.43</v>
      </c>
      <c r="P295" s="73">
        <f t="shared" si="70"/>
        <v>0</v>
      </c>
      <c r="Q295" s="73">
        <f t="shared" si="71"/>
        <v>0</v>
      </c>
      <c r="R295" s="74">
        <f t="shared" si="72"/>
        <v>0</v>
      </c>
      <c r="S295" s="74">
        <f t="shared" si="73"/>
        <v>1</v>
      </c>
      <c r="T295" s="75"/>
      <c r="V295" s="76">
        <v>216.0</v>
      </c>
      <c r="W295" s="77"/>
      <c r="X295" s="77">
        <v>15.12</v>
      </c>
      <c r="Y295" s="77"/>
      <c r="Z295" s="77">
        <f>143.64+147.15</f>
        <v>290.79</v>
      </c>
      <c r="AA295" s="103">
        <v>209.65</v>
      </c>
      <c r="AB295" s="78">
        <f t="shared" si="135"/>
        <v>731.56</v>
      </c>
      <c r="AC295" s="77">
        <v>28499.74</v>
      </c>
      <c r="AD295" s="79">
        <v>0.0025</v>
      </c>
      <c r="AE295" s="80">
        <f t="shared" si="136"/>
        <v>35.13666575</v>
      </c>
      <c r="AF295" s="81"/>
      <c r="AG295" s="79"/>
      <c r="AH295" s="80">
        <f t="shared" si="140"/>
        <v>0</v>
      </c>
      <c r="AI295" s="82">
        <f t="shared" si="141"/>
        <v>28499.74</v>
      </c>
      <c r="AJ295" s="82">
        <f t="shared" si="137"/>
        <v>35.13666575</v>
      </c>
      <c r="AK295" s="83">
        <f t="shared" si="138"/>
        <v>35.13666575</v>
      </c>
      <c r="AL295" s="84">
        <f t="shared" si="139"/>
        <v>341.0466658</v>
      </c>
      <c r="AN295" s="111">
        <f t="shared" si="142"/>
        <v>731.56</v>
      </c>
      <c r="AP295" s="85">
        <f t="shared" si="9"/>
        <v>1</v>
      </c>
      <c r="AQ295" s="20">
        <f t="shared" si="10"/>
        <v>1</v>
      </c>
      <c r="AR295" s="20">
        <f t="shared" si="11"/>
        <v>1</v>
      </c>
      <c r="AS295" s="86">
        <f t="shared" si="12"/>
        <v>10138.7</v>
      </c>
      <c r="AT295" s="87">
        <f t="shared" si="13"/>
        <v>28499.74</v>
      </c>
      <c r="AU295" s="88">
        <f t="shared" si="81"/>
        <v>0.7</v>
      </c>
      <c r="AV295" s="89" t="str">
        <f t="shared" si="15"/>
        <v>#VALUE!</v>
      </c>
      <c r="AW295" s="90" t="str">
        <f t="shared" si="16"/>
        <v>#VALUE!</v>
      </c>
      <c r="AY295" s="85">
        <f t="shared" si="17"/>
        <v>0</v>
      </c>
      <c r="AZ295" s="20">
        <f t="shared" si="18"/>
        <v>1</v>
      </c>
      <c r="BA295" s="20">
        <f t="shared" si="19"/>
        <v>0</v>
      </c>
      <c r="BB295" s="91">
        <f t="shared" si="20"/>
        <v>0</v>
      </c>
      <c r="BC295" s="87">
        <f t="shared" si="21"/>
        <v>0</v>
      </c>
      <c r="BD295" s="92">
        <f t="shared" si="22"/>
        <v>0</v>
      </c>
      <c r="BE295" s="89" t="str">
        <f t="shared" si="23"/>
        <v>#VALUE!</v>
      </c>
      <c r="BF295" s="90">
        <f t="shared" si="24"/>
        <v>0</v>
      </c>
      <c r="BH295" s="93">
        <f t="shared" si="25"/>
        <v>28499.74</v>
      </c>
      <c r="BI295" s="94">
        <f t="shared" si="26"/>
        <v>1</v>
      </c>
      <c r="BJ295" s="95" t="str">
        <f t="shared" si="27"/>
        <v>#VALUE!</v>
      </c>
      <c r="BK295" s="96" t="str">
        <f t="shared" si="28"/>
        <v>#VALUE!</v>
      </c>
      <c r="BM295" s="97">
        <f t="shared" si="29"/>
        <v>1</v>
      </c>
    </row>
    <row r="296" ht="12.75" customHeight="1">
      <c r="A296" s="65"/>
      <c r="B296" s="66" t="s">
        <v>600</v>
      </c>
      <c r="C296" s="67">
        <v>70190.77</v>
      </c>
      <c r="D296" s="68">
        <v>13.0</v>
      </c>
      <c r="E296" s="67">
        <v>61436.27</v>
      </c>
      <c r="F296" s="68" t="s">
        <v>64</v>
      </c>
      <c r="G296" s="69">
        <v>45355.0</v>
      </c>
      <c r="H296" s="70" t="s">
        <v>57</v>
      </c>
      <c r="I296" s="100">
        <v>45595.0</v>
      </c>
      <c r="J296" s="71">
        <f t="shared" si="99"/>
        <v>8</v>
      </c>
      <c r="K296" s="98" t="s">
        <v>601</v>
      </c>
      <c r="L296" s="98">
        <v>70000.0</v>
      </c>
      <c r="M296" s="73">
        <v>472.59</v>
      </c>
      <c r="N296" s="73">
        <v>14328.779999999999</v>
      </c>
      <c r="O296" s="101">
        <v>1614.64</v>
      </c>
      <c r="P296" s="73">
        <f t="shared" si="70"/>
        <v>0</v>
      </c>
      <c r="Q296" s="73">
        <f t="shared" si="71"/>
        <v>7852.28</v>
      </c>
      <c r="R296" s="74">
        <f t="shared" si="72"/>
        <v>0.1278117959</v>
      </c>
      <c r="S296" s="74">
        <f t="shared" si="73"/>
        <v>0.8721882041</v>
      </c>
      <c r="T296" s="75"/>
      <c r="V296" s="76"/>
      <c r="W296" s="77"/>
      <c r="X296" s="77"/>
      <c r="Y296" s="77"/>
      <c r="Z296" s="77"/>
      <c r="AA296" s="77"/>
      <c r="AB296" s="78"/>
      <c r="AC296" s="77"/>
      <c r="AD296" s="79"/>
      <c r="AE296" s="80"/>
      <c r="AF296" s="81"/>
      <c r="AG296" s="79"/>
      <c r="AH296" s="80"/>
      <c r="AI296" s="82"/>
      <c r="AJ296" s="82"/>
      <c r="AK296" s="83"/>
      <c r="AL296" s="84"/>
      <c r="AP296" s="85">
        <f t="shared" si="9"/>
        <v>0</v>
      </c>
      <c r="AQ296" s="20">
        <f t="shared" si="10"/>
        <v>1</v>
      </c>
      <c r="AR296" s="20">
        <f t="shared" si="11"/>
        <v>0</v>
      </c>
      <c r="AS296" s="86">
        <f t="shared" si="12"/>
        <v>0</v>
      </c>
      <c r="AT296" s="87">
        <f t="shared" si="13"/>
        <v>0</v>
      </c>
      <c r="AU296" s="88">
        <f t="shared" si="81"/>
        <v>0</v>
      </c>
      <c r="AV296" s="89" t="str">
        <f t="shared" si="15"/>
        <v>#VALUE!</v>
      </c>
      <c r="AW296" s="90">
        <f t="shared" si="16"/>
        <v>0</v>
      </c>
      <c r="AY296" s="85">
        <f t="shared" si="17"/>
        <v>1</v>
      </c>
      <c r="AZ296" s="20">
        <f t="shared" si="18"/>
        <v>1</v>
      </c>
      <c r="BA296" s="20">
        <f t="shared" si="19"/>
        <v>1</v>
      </c>
      <c r="BB296" s="91">
        <f t="shared" si="20"/>
        <v>15943.42</v>
      </c>
      <c r="BC296" s="87">
        <f t="shared" si="21"/>
        <v>61436.27</v>
      </c>
      <c r="BD296" s="92">
        <f t="shared" si="22"/>
        <v>8</v>
      </c>
      <c r="BE296" s="89" t="str">
        <f t="shared" si="23"/>
        <v>#VALUE!</v>
      </c>
      <c r="BF296" s="90" t="str">
        <f t="shared" si="24"/>
        <v>#VALUE!</v>
      </c>
      <c r="BH296" s="93">
        <f t="shared" si="25"/>
        <v>61436.27</v>
      </c>
      <c r="BI296" s="94">
        <f t="shared" si="26"/>
        <v>1</v>
      </c>
      <c r="BJ296" s="95" t="str">
        <f t="shared" si="27"/>
        <v>#VALUE!</v>
      </c>
      <c r="BK296" s="96" t="str">
        <f t="shared" si="28"/>
        <v>#VALUE!</v>
      </c>
      <c r="BM296" s="97">
        <f t="shared" si="29"/>
        <v>1</v>
      </c>
    </row>
    <row r="297" ht="12.75" customHeight="1">
      <c r="A297" s="65"/>
      <c r="B297" s="66" t="s">
        <v>602</v>
      </c>
      <c r="C297" s="67">
        <v>35000.0</v>
      </c>
      <c r="D297" s="68">
        <v>13.0</v>
      </c>
      <c r="E297" s="67">
        <v>25498.63</v>
      </c>
      <c r="F297" s="68" t="s">
        <v>56</v>
      </c>
      <c r="G297" s="69">
        <v>45177.0</v>
      </c>
      <c r="H297" s="71" t="s">
        <v>57</v>
      </c>
      <c r="I297" s="69">
        <v>45355.0</v>
      </c>
      <c r="J297" s="71">
        <f t="shared" si="99"/>
        <v>5.933333333</v>
      </c>
      <c r="K297" s="98" t="s">
        <v>603</v>
      </c>
      <c r="L297" s="72">
        <v>43000.0</v>
      </c>
      <c r="M297" s="73">
        <v>1233.46</v>
      </c>
      <c r="N297" s="110">
        <v>7716.429999999999</v>
      </c>
      <c r="O297" s="73">
        <v>1800.4</v>
      </c>
      <c r="P297" s="73">
        <f t="shared" si="70"/>
        <v>0</v>
      </c>
      <c r="Q297" s="73">
        <f t="shared" si="71"/>
        <v>0</v>
      </c>
      <c r="R297" s="74">
        <f t="shared" si="72"/>
        <v>0</v>
      </c>
      <c r="S297" s="74">
        <f t="shared" si="73"/>
        <v>1</v>
      </c>
      <c r="T297" s="75"/>
      <c r="V297" s="76">
        <v>258.78</v>
      </c>
      <c r="W297" s="77"/>
      <c r="X297" s="77">
        <v>18.11</v>
      </c>
      <c r="Y297" s="77"/>
      <c r="Z297" s="77">
        <f>106.72+637.13</f>
        <v>743.85</v>
      </c>
      <c r="AA297" s="77">
        <v>212.72</v>
      </c>
      <c r="AB297" s="78">
        <f>AA297+Z297+Y297+X297+V297+W297</f>
        <v>1233.46</v>
      </c>
      <c r="AC297" s="77">
        <v>25498.63</v>
      </c>
      <c r="AD297" s="79">
        <v>0.0025</v>
      </c>
      <c r="AE297" s="80">
        <f>((AC297*AD297)/365)*180</f>
        <v>31.43666712</v>
      </c>
      <c r="AF297" s="81"/>
      <c r="AG297" s="79"/>
      <c r="AH297" s="80">
        <f>((AF297*AG297)/365)*180</f>
        <v>0</v>
      </c>
      <c r="AI297" s="82">
        <f>AC297+AF297</f>
        <v>25498.63</v>
      </c>
      <c r="AJ297" s="82">
        <f>AE297+AH297</f>
        <v>31.43666712</v>
      </c>
      <c r="AK297" s="83">
        <f>IF(AJ297&lt;AA297,AJ297,AA297)</f>
        <v>31.43666712</v>
      </c>
      <c r="AL297" s="84">
        <f>W297+X297+Y297+Z297+AK297</f>
        <v>793.3966671</v>
      </c>
      <c r="AN297" s="111">
        <f>AB297</f>
        <v>1233.46</v>
      </c>
      <c r="AP297" s="85">
        <f t="shared" si="9"/>
        <v>1</v>
      </c>
      <c r="AQ297" s="20">
        <f t="shared" si="10"/>
        <v>1</v>
      </c>
      <c r="AR297" s="20">
        <f t="shared" si="11"/>
        <v>1</v>
      </c>
      <c r="AS297" s="86">
        <f t="shared" si="12"/>
        <v>9516.83</v>
      </c>
      <c r="AT297" s="87">
        <f t="shared" si="13"/>
        <v>25498.63</v>
      </c>
      <c r="AU297" s="88">
        <f t="shared" si="81"/>
        <v>5.933333333</v>
      </c>
      <c r="AV297" s="89" t="str">
        <f t="shared" si="15"/>
        <v>#VALUE!</v>
      </c>
      <c r="AW297" s="90" t="str">
        <f t="shared" si="16"/>
        <v>#VALUE!</v>
      </c>
      <c r="AY297" s="85">
        <f t="shared" si="17"/>
        <v>0</v>
      </c>
      <c r="AZ297" s="20">
        <f t="shared" si="18"/>
        <v>1</v>
      </c>
      <c r="BA297" s="20">
        <f t="shared" si="19"/>
        <v>0</v>
      </c>
      <c r="BB297" s="91">
        <f t="shared" si="20"/>
        <v>0</v>
      </c>
      <c r="BC297" s="87">
        <f t="shared" si="21"/>
        <v>0</v>
      </c>
      <c r="BD297" s="92">
        <f t="shared" si="22"/>
        <v>0</v>
      </c>
      <c r="BE297" s="89" t="str">
        <f t="shared" si="23"/>
        <v>#VALUE!</v>
      </c>
      <c r="BF297" s="90">
        <f t="shared" si="24"/>
        <v>0</v>
      </c>
      <c r="BH297" s="93">
        <f t="shared" si="25"/>
        <v>25498.63</v>
      </c>
      <c r="BI297" s="94">
        <f t="shared" si="26"/>
        <v>1</v>
      </c>
      <c r="BJ297" s="95" t="str">
        <f t="shared" si="27"/>
        <v>#VALUE!</v>
      </c>
      <c r="BK297" s="96" t="str">
        <f t="shared" si="28"/>
        <v>#VALUE!</v>
      </c>
      <c r="BM297" s="97">
        <f t="shared" si="29"/>
        <v>1</v>
      </c>
    </row>
    <row r="298" ht="12.75" customHeight="1">
      <c r="A298" s="65"/>
      <c r="B298" s="115" t="s">
        <v>604</v>
      </c>
      <c r="C298" s="106">
        <v>52500.0</v>
      </c>
      <c r="D298" s="68">
        <v>13.0</v>
      </c>
      <c r="E298" s="106">
        <v>46037.34</v>
      </c>
      <c r="F298" s="68" t="s">
        <v>64</v>
      </c>
      <c r="G298" s="100">
        <v>45489.0</v>
      </c>
      <c r="H298" s="70" t="s">
        <v>57</v>
      </c>
      <c r="I298" s="100">
        <v>45595.0</v>
      </c>
      <c r="J298" s="71">
        <f t="shared" si="99"/>
        <v>3.533333333</v>
      </c>
      <c r="K298" s="98" t="s">
        <v>605</v>
      </c>
      <c r="L298" s="98">
        <v>50000.0</v>
      </c>
      <c r="M298" s="73">
        <v>681.21</v>
      </c>
      <c r="N298" s="73">
        <v>7588.69</v>
      </c>
      <c r="O298" s="101">
        <v>410.0</v>
      </c>
      <c r="P298" s="73">
        <f t="shared" si="70"/>
        <v>0</v>
      </c>
      <c r="Q298" s="73">
        <f t="shared" si="71"/>
        <v>4717.24</v>
      </c>
      <c r="R298" s="74">
        <f t="shared" si="72"/>
        <v>0.1024655204</v>
      </c>
      <c r="S298" s="74">
        <f t="shared" si="73"/>
        <v>0.8975344796</v>
      </c>
      <c r="T298" s="75"/>
      <c r="V298" s="76"/>
      <c r="W298" s="77"/>
      <c r="X298" s="77"/>
      <c r="Y298" s="77"/>
      <c r="Z298" s="77"/>
      <c r="AA298" s="77"/>
      <c r="AB298" s="78"/>
      <c r="AC298" s="77"/>
      <c r="AD298" s="79"/>
      <c r="AE298" s="80"/>
      <c r="AF298" s="81"/>
      <c r="AG298" s="79"/>
      <c r="AH298" s="80"/>
      <c r="AI298" s="82"/>
      <c r="AJ298" s="82"/>
      <c r="AK298" s="83"/>
      <c r="AL298" s="84"/>
      <c r="AP298" s="85">
        <f t="shared" si="9"/>
        <v>0</v>
      </c>
      <c r="AQ298" s="20">
        <f t="shared" si="10"/>
        <v>1</v>
      </c>
      <c r="AR298" s="20">
        <f t="shared" si="11"/>
        <v>0</v>
      </c>
      <c r="AS298" s="86">
        <f t="shared" si="12"/>
        <v>0</v>
      </c>
      <c r="AT298" s="87">
        <f t="shared" si="13"/>
        <v>0</v>
      </c>
      <c r="AU298" s="88">
        <f t="shared" si="81"/>
        <v>0</v>
      </c>
      <c r="AV298" s="89" t="str">
        <f t="shared" si="15"/>
        <v>#VALUE!</v>
      </c>
      <c r="AW298" s="90">
        <f t="shared" si="16"/>
        <v>0</v>
      </c>
      <c r="AY298" s="85">
        <f t="shared" si="17"/>
        <v>1</v>
      </c>
      <c r="AZ298" s="20">
        <f t="shared" si="18"/>
        <v>1</v>
      </c>
      <c r="BA298" s="20">
        <f t="shared" si="19"/>
        <v>1</v>
      </c>
      <c r="BB298" s="91">
        <f t="shared" si="20"/>
        <v>7998.69</v>
      </c>
      <c r="BC298" s="87">
        <f t="shared" si="21"/>
        <v>46037.34</v>
      </c>
      <c r="BD298" s="92">
        <f t="shared" si="22"/>
        <v>3.533333333</v>
      </c>
      <c r="BE298" s="89" t="str">
        <f t="shared" si="23"/>
        <v>#VALUE!</v>
      </c>
      <c r="BF298" s="90" t="str">
        <f t="shared" si="24"/>
        <v>#VALUE!</v>
      </c>
      <c r="BH298" s="93">
        <f t="shared" si="25"/>
        <v>46037.34</v>
      </c>
      <c r="BI298" s="94">
        <f t="shared" si="26"/>
        <v>1</v>
      </c>
      <c r="BJ298" s="95" t="str">
        <f t="shared" si="27"/>
        <v>#VALUE!</v>
      </c>
      <c r="BK298" s="96" t="str">
        <f t="shared" si="28"/>
        <v>#VALUE!</v>
      </c>
      <c r="BM298" s="97">
        <f t="shared" si="29"/>
        <v>1</v>
      </c>
    </row>
    <row r="299" ht="12.75" customHeight="1">
      <c r="A299" s="65"/>
      <c r="B299" s="66" t="s">
        <v>606</v>
      </c>
      <c r="C299" s="67">
        <v>49995.0</v>
      </c>
      <c r="D299" s="68">
        <v>13.0</v>
      </c>
      <c r="E299" s="67">
        <v>46797.47</v>
      </c>
      <c r="F299" s="68" t="s">
        <v>64</v>
      </c>
      <c r="G299" s="69">
        <v>45210.0</v>
      </c>
      <c r="H299" s="71" t="s">
        <v>57</v>
      </c>
      <c r="I299" s="69">
        <v>45351.0</v>
      </c>
      <c r="J299" s="71">
        <f t="shared" si="99"/>
        <v>4.7</v>
      </c>
      <c r="K299" s="72" t="s">
        <v>607</v>
      </c>
      <c r="L299" s="72">
        <v>47000.0</v>
      </c>
      <c r="M299" s="73">
        <v>556.39</v>
      </c>
      <c r="N299" s="110">
        <v>5420.5199999999995</v>
      </c>
      <c r="O299" s="73">
        <v>2343.8</v>
      </c>
      <c r="P299" s="73">
        <f t="shared" si="70"/>
        <v>0</v>
      </c>
      <c r="Q299" s="73">
        <f t="shared" si="71"/>
        <v>8118.18</v>
      </c>
      <c r="R299" s="74">
        <f t="shared" si="72"/>
        <v>0.1734747626</v>
      </c>
      <c r="S299" s="74">
        <f t="shared" si="73"/>
        <v>0.8265252374</v>
      </c>
      <c r="T299" s="75"/>
      <c r="V299" s="76">
        <v>44.0</v>
      </c>
      <c r="W299" s="77"/>
      <c r="X299" s="77">
        <v>3.08</v>
      </c>
      <c r="Y299" s="77"/>
      <c r="Z299" s="77">
        <f>21+128.44</f>
        <v>149.44</v>
      </c>
      <c r="AA299" s="77">
        <v>1663.1</v>
      </c>
      <c r="AB299" s="78">
        <f>AA299+Z299+Y299+X299+V299+W299</f>
        <v>1859.62</v>
      </c>
      <c r="AC299" s="77">
        <v>46797.47</v>
      </c>
      <c r="AD299" s="79">
        <v>0.0175</v>
      </c>
      <c r="AE299" s="80">
        <f>((AC299*AD299)/365)*180</f>
        <v>403.8685767</v>
      </c>
      <c r="AF299" s="81"/>
      <c r="AG299" s="79"/>
      <c r="AH299" s="80">
        <f>((AF299*AG299)/365)*180</f>
        <v>0</v>
      </c>
      <c r="AI299" s="82">
        <f>AC299+AF299</f>
        <v>46797.47</v>
      </c>
      <c r="AJ299" s="82">
        <f>AE299+AH299</f>
        <v>403.8685767</v>
      </c>
      <c r="AK299" s="83">
        <f>IF(AJ299&lt;AA299,AJ299,AA299)</f>
        <v>403.8685767</v>
      </c>
      <c r="AL299" s="84">
        <f>W299+X299+Y299+Z299+AK299</f>
        <v>556.3885767</v>
      </c>
      <c r="AP299" s="85">
        <f t="shared" si="9"/>
        <v>0</v>
      </c>
      <c r="AQ299" s="20">
        <f t="shared" si="10"/>
        <v>1</v>
      </c>
      <c r="AR299" s="20">
        <f t="shared" si="11"/>
        <v>0</v>
      </c>
      <c r="AS299" s="86">
        <f t="shared" si="12"/>
        <v>0</v>
      </c>
      <c r="AT299" s="87">
        <f t="shared" si="13"/>
        <v>0</v>
      </c>
      <c r="AU299" s="88">
        <f t="shared" si="81"/>
        <v>0</v>
      </c>
      <c r="AV299" s="89" t="str">
        <f t="shared" si="15"/>
        <v>#VALUE!</v>
      </c>
      <c r="AW299" s="90">
        <f t="shared" si="16"/>
        <v>0</v>
      </c>
      <c r="AY299" s="85">
        <f t="shared" si="17"/>
        <v>1</v>
      </c>
      <c r="AZ299" s="20">
        <f t="shared" si="18"/>
        <v>1</v>
      </c>
      <c r="BA299" s="20">
        <f t="shared" si="19"/>
        <v>1</v>
      </c>
      <c r="BB299" s="91">
        <f t="shared" si="20"/>
        <v>7764.32</v>
      </c>
      <c r="BC299" s="87">
        <f t="shared" si="21"/>
        <v>46797.47</v>
      </c>
      <c r="BD299" s="92">
        <f t="shared" si="22"/>
        <v>4.7</v>
      </c>
      <c r="BE299" s="89" t="str">
        <f t="shared" si="23"/>
        <v>#VALUE!</v>
      </c>
      <c r="BF299" s="90" t="str">
        <f t="shared" si="24"/>
        <v>#VALUE!</v>
      </c>
      <c r="BH299" s="93">
        <f t="shared" si="25"/>
        <v>46797.47</v>
      </c>
      <c r="BI299" s="94">
        <f t="shared" si="26"/>
        <v>1</v>
      </c>
      <c r="BJ299" s="95" t="str">
        <f t="shared" si="27"/>
        <v>#VALUE!</v>
      </c>
      <c r="BK299" s="96" t="str">
        <f t="shared" si="28"/>
        <v>#VALUE!</v>
      </c>
      <c r="BM299" s="97">
        <f t="shared" si="29"/>
        <v>1</v>
      </c>
    </row>
    <row r="300" ht="12.75" customHeight="1">
      <c r="A300" s="65"/>
      <c r="B300" s="66" t="s">
        <v>608</v>
      </c>
      <c r="C300" s="67">
        <v>49995.0</v>
      </c>
      <c r="D300" s="68">
        <v>13.0</v>
      </c>
      <c r="E300" s="67">
        <v>45924.28</v>
      </c>
      <c r="F300" s="68" t="s">
        <v>64</v>
      </c>
      <c r="G300" s="69">
        <v>45373.0</v>
      </c>
      <c r="H300" s="70" t="s">
        <v>57</v>
      </c>
      <c r="I300" s="100">
        <v>45532.0</v>
      </c>
      <c r="J300" s="71">
        <f t="shared" si="99"/>
        <v>5.3</v>
      </c>
      <c r="K300" s="98" t="s">
        <v>609</v>
      </c>
      <c r="L300" s="98">
        <v>50000.0</v>
      </c>
      <c r="M300" s="101">
        <v>400.3</v>
      </c>
      <c r="N300" s="73">
        <v>6019.36</v>
      </c>
      <c r="O300" s="101">
        <v>1468.56</v>
      </c>
      <c r="P300" s="73">
        <f t="shared" si="70"/>
        <v>0</v>
      </c>
      <c r="Q300" s="73">
        <f t="shared" si="71"/>
        <v>3812.5</v>
      </c>
      <c r="R300" s="74">
        <f t="shared" si="72"/>
        <v>0.08301708813</v>
      </c>
      <c r="S300" s="74">
        <f t="shared" si="73"/>
        <v>0.9169829119</v>
      </c>
      <c r="T300" s="75"/>
      <c r="V300" s="76"/>
      <c r="W300" s="77"/>
      <c r="X300" s="77"/>
      <c r="Y300" s="77"/>
      <c r="Z300" s="77"/>
      <c r="AA300" s="77"/>
      <c r="AB300" s="78"/>
      <c r="AC300" s="77"/>
      <c r="AD300" s="79"/>
      <c r="AE300" s="80"/>
      <c r="AF300" s="81"/>
      <c r="AG300" s="79"/>
      <c r="AH300" s="80"/>
      <c r="AI300" s="82"/>
      <c r="AJ300" s="82"/>
      <c r="AK300" s="83"/>
      <c r="AL300" s="84"/>
      <c r="AP300" s="85">
        <f t="shared" si="9"/>
        <v>0</v>
      </c>
      <c r="AQ300" s="20">
        <f t="shared" si="10"/>
        <v>1</v>
      </c>
      <c r="AR300" s="20">
        <f t="shared" si="11"/>
        <v>0</v>
      </c>
      <c r="AS300" s="86">
        <f t="shared" si="12"/>
        <v>0</v>
      </c>
      <c r="AT300" s="87">
        <f t="shared" si="13"/>
        <v>0</v>
      </c>
      <c r="AU300" s="88">
        <f t="shared" si="81"/>
        <v>0</v>
      </c>
      <c r="AV300" s="89" t="str">
        <f t="shared" si="15"/>
        <v>#VALUE!</v>
      </c>
      <c r="AW300" s="90">
        <f t="shared" si="16"/>
        <v>0</v>
      </c>
      <c r="AY300" s="85">
        <f t="shared" si="17"/>
        <v>1</v>
      </c>
      <c r="AZ300" s="20">
        <f t="shared" si="18"/>
        <v>1</v>
      </c>
      <c r="BA300" s="20">
        <f t="shared" si="19"/>
        <v>1</v>
      </c>
      <c r="BB300" s="91">
        <f t="shared" si="20"/>
        <v>7487.92</v>
      </c>
      <c r="BC300" s="87">
        <f t="shared" si="21"/>
        <v>45924.28</v>
      </c>
      <c r="BD300" s="92">
        <f t="shared" si="22"/>
        <v>5.3</v>
      </c>
      <c r="BE300" s="89" t="str">
        <f t="shared" si="23"/>
        <v>#VALUE!</v>
      </c>
      <c r="BF300" s="90" t="str">
        <f t="shared" si="24"/>
        <v>#VALUE!</v>
      </c>
      <c r="BH300" s="93">
        <f t="shared" si="25"/>
        <v>45924.28</v>
      </c>
      <c r="BI300" s="94">
        <f t="shared" si="26"/>
        <v>1</v>
      </c>
      <c r="BJ300" s="95" t="str">
        <f t="shared" si="27"/>
        <v>#VALUE!</v>
      </c>
      <c r="BK300" s="96" t="str">
        <f t="shared" si="28"/>
        <v>#VALUE!</v>
      </c>
      <c r="BM300" s="97">
        <f t="shared" si="29"/>
        <v>1</v>
      </c>
    </row>
    <row r="301" ht="12.75" customHeight="1">
      <c r="A301" s="65"/>
      <c r="B301" s="66" t="s">
        <v>610</v>
      </c>
      <c r="C301" s="67">
        <v>39200.0</v>
      </c>
      <c r="D301" s="68">
        <v>13.0</v>
      </c>
      <c r="E301" s="67">
        <v>36074.55</v>
      </c>
      <c r="F301" s="68" t="s">
        <v>64</v>
      </c>
      <c r="G301" s="69">
        <v>45223.0</v>
      </c>
      <c r="H301" s="71" t="s">
        <v>543</v>
      </c>
      <c r="I301" s="69" t="s">
        <v>181</v>
      </c>
      <c r="J301" s="71" t="str">
        <f t="shared" si="99"/>
        <v>N/A</v>
      </c>
      <c r="K301" s="72" t="s">
        <v>181</v>
      </c>
      <c r="L301" s="72" t="s">
        <v>181</v>
      </c>
      <c r="M301" s="73"/>
      <c r="N301" s="73"/>
      <c r="O301" s="73"/>
      <c r="P301" s="73">
        <f t="shared" si="70"/>
        <v>0</v>
      </c>
      <c r="Q301" s="73">
        <f t="shared" si="71"/>
        <v>0</v>
      </c>
      <c r="R301" s="74" t="str">
        <f t="shared" si="72"/>
        <v>N/A</v>
      </c>
      <c r="S301" s="74" t="str">
        <f t="shared" si="73"/>
        <v>N/A</v>
      </c>
      <c r="T301" s="75"/>
      <c r="V301" s="76"/>
      <c r="W301" s="77"/>
      <c r="X301" s="77"/>
      <c r="Y301" s="77"/>
      <c r="Z301" s="77"/>
      <c r="AA301" s="77"/>
      <c r="AB301" s="78"/>
      <c r="AC301" s="77"/>
      <c r="AD301" s="79"/>
      <c r="AE301" s="80"/>
      <c r="AF301" s="81"/>
      <c r="AG301" s="79"/>
      <c r="AH301" s="80"/>
      <c r="AI301" s="82"/>
      <c r="AJ301" s="82">
        <f t="shared" ref="AJ301:AJ303" si="143">AE301+AH301</f>
        <v>0</v>
      </c>
      <c r="AK301" s="83"/>
      <c r="AL301" s="84">
        <f t="shared" ref="AL301:AL303" si="144">W301+X301+Y301+Z301+AK301</f>
        <v>0</v>
      </c>
      <c r="AP301" s="85">
        <f t="shared" si="9"/>
        <v>0</v>
      </c>
      <c r="AQ301" s="20">
        <f t="shared" si="10"/>
        <v>0</v>
      </c>
      <c r="AR301" s="20">
        <f t="shared" si="11"/>
        <v>0</v>
      </c>
      <c r="AS301" s="86">
        <f t="shared" si="12"/>
        <v>0</v>
      </c>
      <c r="AT301" s="87">
        <f t="shared" si="13"/>
        <v>0</v>
      </c>
      <c r="AU301" s="88">
        <f t="shared" si="81"/>
        <v>0</v>
      </c>
      <c r="AV301" s="89" t="str">
        <f t="shared" si="15"/>
        <v>#VALUE!</v>
      </c>
      <c r="AW301" s="90">
        <f t="shared" si="16"/>
        <v>0</v>
      </c>
      <c r="AY301" s="85">
        <f t="shared" si="17"/>
        <v>1</v>
      </c>
      <c r="AZ301" s="20">
        <f t="shared" si="18"/>
        <v>0</v>
      </c>
      <c r="BA301" s="20">
        <f t="shared" si="19"/>
        <v>0</v>
      </c>
      <c r="BB301" s="91">
        <f t="shared" si="20"/>
        <v>0</v>
      </c>
      <c r="BC301" s="87">
        <f t="shared" si="21"/>
        <v>0</v>
      </c>
      <c r="BD301" s="92">
        <f t="shared" si="22"/>
        <v>0</v>
      </c>
      <c r="BE301" s="89" t="str">
        <f t="shared" si="23"/>
        <v>#VALUE!</v>
      </c>
      <c r="BF301" s="90">
        <f t="shared" si="24"/>
        <v>0</v>
      </c>
      <c r="BH301" s="93">
        <f t="shared" si="25"/>
        <v>0</v>
      </c>
      <c r="BI301" s="94">
        <f t="shared" si="26"/>
        <v>0</v>
      </c>
      <c r="BJ301" s="95" t="str">
        <f t="shared" si="27"/>
        <v>#VALUE!</v>
      </c>
      <c r="BK301" s="96">
        <f t="shared" si="28"/>
        <v>0</v>
      </c>
      <c r="BM301" s="97">
        <f t="shared" si="29"/>
        <v>1</v>
      </c>
    </row>
    <row r="302" ht="12.75" customHeight="1">
      <c r="A302" s="65"/>
      <c r="B302" s="66" t="s">
        <v>611</v>
      </c>
      <c r="C302" s="67">
        <v>34109.88</v>
      </c>
      <c r="D302" s="68">
        <v>13.0</v>
      </c>
      <c r="E302" s="67">
        <v>23646.96</v>
      </c>
      <c r="F302" s="68" t="s">
        <v>56</v>
      </c>
      <c r="G302" s="69">
        <v>45223.0</v>
      </c>
      <c r="H302" s="71" t="s">
        <v>57</v>
      </c>
      <c r="I302" s="69">
        <v>45246.0</v>
      </c>
      <c r="J302" s="71">
        <f t="shared" si="99"/>
        <v>0.7666666667</v>
      </c>
      <c r="K302" s="72" t="s">
        <v>612</v>
      </c>
      <c r="L302" s="72">
        <v>45000.0</v>
      </c>
      <c r="M302" s="73">
        <v>980.0</v>
      </c>
      <c r="N302" s="73">
        <v>6719.360000000001</v>
      </c>
      <c r="O302" s="73">
        <v>3596.0</v>
      </c>
      <c r="P302" s="73">
        <f t="shared" si="70"/>
        <v>0</v>
      </c>
      <c r="Q302" s="73">
        <f t="shared" si="71"/>
        <v>0</v>
      </c>
      <c r="R302" s="74">
        <f t="shared" si="72"/>
        <v>0</v>
      </c>
      <c r="S302" s="74">
        <f t="shared" si="73"/>
        <v>1</v>
      </c>
      <c r="T302" s="75"/>
      <c r="V302" s="76">
        <v>512.0</v>
      </c>
      <c r="W302" s="77"/>
      <c r="X302" s="77">
        <v>35.84</v>
      </c>
      <c r="Y302" s="77"/>
      <c r="Z302" s="77">
        <f>290.56+653.44</f>
        <v>944</v>
      </c>
      <c r="AA302" s="77"/>
      <c r="AB302" s="78">
        <f t="shared" ref="AB302:AB303" si="145">AA302+Z302+Y302+X302+V302+W302</f>
        <v>1491.84</v>
      </c>
      <c r="AC302" s="77">
        <v>23646.96</v>
      </c>
      <c r="AD302" s="79">
        <v>0.0</v>
      </c>
      <c r="AE302" s="80">
        <v>0.0</v>
      </c>
      <c r="AF302" s="81"/>
      <c r="AG302" s="79">
        <v>0.0</v>
      </c>
      <c r="AH302" s="80">
        <f>((AF302*AG302)/365)*180</f>
        <v>0</v>
      </c>
      <c r="AI302" s="82">
        <f>AC302+AF302</f>
        <v>23646.96</v>
      </c>
      <c r="AJ302" s="82">
        <f t="shared" si="143"/>
        <v>0</v>
      </c>
      <c r="AK302" s="83" t="str">
        <f>IF(AJ302&lt;AA302,AJ302,AA302)</f>
        <v/>
      </c>
      <c r="AL302" s="84">
        <f t="shared" si="144"/>
        <v>979.84</v>
      </c>
      <c r="AP302" s="85">
        <f t="shared" si="9"/>
        <v>1</v>
      </c>
      <c r="AQ302" s="20">
        <f t="shared" si="10"/>
        <v>1</v>
      </c>
      <c r="AR302" s="20">
        <f t="shared" si="11"/>
        <v>1</v>
      </c>
      <c r="AS302" s="86">
        <f t="shared" si="12"/>
        <v>10315.36</v>
      </c>
      <c r="AT302" s="87">
        <f t="shared" si="13"/>
        <v>23646.96</v>
      </c>
      <c r="AU302" s="88">
        <f t="shared" si="81"/>
        <v>0.7666666667</v>
      </c>
      <c r="AV302" s="89" t="str">
        <f t="shared" si="15"/>
        <v>#VALUE!</v>
      </c>
      <c r="AW302" s="90" t="str">
        <f t="shared" si="16"/>
        <v>#VALUE!</v>
      </c>
      <c r="AY302" s="85">
        <f t="shared" si="17"/>
        <v>0</v>
      </c>
      <c r="AZ302" s="20">
        <f t="shared" si="18"/>
        <v>1</v>
      </c>
      <c r="BA302" s="20">
        <f t="shared" si="19"/>
        <v>0</v>
      </c>
      <c r="BB302" s="91">
        <f t="shared" si="20"/>
        <v>0</v>
      </c>
      <c r="BC302" s="87">
        <f t="shared" si="21"/>
        <v>0</v>
      </c>
      <c r="BD302" s="92">
        <f t="shared" si="22"/>
        <v>0</v>
      </c>
      <c r="BE302" s="89" t="str">
        <f t="shared" si="23"/>
        <v>#VALUE!</v>
      </c>
      <c r="BF302" s="90">
        <f t="shared" si="24"/>
        <v>0</v>
      </c>
      <c r="BH302" s="93">
        <f t="shared" si="25"/>
        <v>23646.96</v>
      </c>
      <c r="BI302" s="94">
        <f t="shared" si="26"/>
        <v>1</v>
      </c>
      <c r="BJ302" s="95" t="str">
        <f t="shared" si="27"/>
        <v>#VALUE!</v>
      </c>
      <c r="BK302" s="96" t="str">
        <f t="shared" si="28"/>
        <v>#VALUE!</v>
      </c>
      <c r="BM302" s="97">
        <f t="shared" si="29"/>
        <v>1</v>
      </c>
    </row>
    <row r="303" ht="12.75" customHeight="1">
      <c r="A303" s="65"/>
      <c r="B303" s="66" t="s">
        <v>613</v>
      </c>
      <c r="C303" s="67">
        <v>52000.0</v>
      </c>
      <c r="D303" s="68">
        <v>13.0</v>
      </c>
      <c r="E303" s="67">
        <v>41362.97</v>
      </c>
      <c r="F303" s="68" t="s">
        <v>64</v>
      </c>
      <c r="G303" s="69">
        <v>45254.0</v>
      </c>
      <c r="H303" s="71" t="s">
        <v>543</v>
      </c>
      <c r="I303" s="69" t="s">
        <v>181</v>
      </c>
      <c r="J303" s="71" t="str">
        <f t="shared" si="99"/>
        <v>N/A</v>
      </c>
      <c r="K303" s="72" t="s">
        <v>181</v>
      </c>
      <c r="L303" s="72" t="s">
        <v>181</v>
      </c>
      <c r="M303" s="73"/>
      <c r="N303" s="73"/>
      <c r="O303" s="73"/>
      <c r="P303" s="73">
        <f t="shared" si="70"/>
        <v>0</v>
      </c>
      <c r="Q303" s="73">
        <f t="shared" si="71"/>
        <v>0</v>
      </c>
      <c r="R303" s="74" t="str">
        <f t="shared" si="72"/>
        <v>N/A</v>
      </c>
      <c r="S303" s="74" t="str">
        <f t="shared" si="73"/>
        <v>N/A</v>
      </c>
      <c r="T303" s="75"/>
      <c r="V303" s="76"/>
      <c r="W303" s="77"/>
      <c r="X303" s="77"/>
      <c r="Y303" s="77"/>
      <c r="Z303" s="77"/>
      <c r="AA303" s="77"/>
      <c r="AB303" s="78">
        <f t="shared" si="145"/>
        <v>0</v>
      </c>
      <c r="AC303" s="77"/>
      <c r="AD303" s="79"/>
      <c r="AE303" s="80"/>
      <c r="AF303" s="81"/>
      <c r="AG303" s="79"/>
      <c r="AH303" s="80"/>
      <c r="AI303" s="82"/>
      <c r="AJ303" s="82">
        <f t="shared" si="143"/>
        <v>0</v>
      </c>
      <c r="AK303" s="83"/>
      <c r="AL303" s="84">
        <f t="shared" si="144"/>
        <v>0</v>
      </c>
      <c r="AP303" s="85">
        <f t="shared" si="9"/>
        <v>0</v>
      </c>
      <c r="AQ303" s="20">
        <f t="shared" si="10"/>
        <v>0</v>
      </c>
      <c r="AR303" s="20">
        <f t="shared" si="11"/>
        <v>0</v>
      </c>
      <c r="AS303" s="86">
        <f t="shared" si="12"/>
        <v>0</v>
      </c>
      <c r="AT303" s="87">
        <f t="shared" si="13"/>
        <v>0</v>
      </c>
      <c r="AU303" s="88">
        <f t="shared" si="81"/>
        <v>0</v>
      </c>
      <c r="AV303" s="89" t="str">
        <f t="shared" si="15"/>
        <v>#VALUE!</v>
      </c>
      <c r="AW303" s="90">
        <f t="shared" si="16"/>
        <v>0</v>
      </c>
      <c r="AY303" s="85">
        <f t="shared" si="17"/>
        <v>1</v>
      </c>
      <c r="AZ303" s="20">
        <f t="shared" si="18"/>
        <v>0</v>
      </c>
      <c r="BA303" s="20">
        <f t="shared" si="19"/>
        <v>0</v>
      </c>
      <c r="BB303" s="91">
        <f t="shared" si="20"/>
        <v>0</v>
      </c>
      <c r="BC303" s="87">
        <f t="shared" si="21"/>
        <v>0</v>
      </c>
      <c r="BD303" s="92">
        <f t="shared" si="22"/>
        <v>0</v>
      </c>
      <c r="BE303" s="89" t="str">
        <f t="shared" si="23"/>
        <v>#VALUE!</v>
      </c>
      <c r="BF303" s="90">
        <f t="shared" si="24"/>
        <v>0</v>
      </c>
      <c r="BH303" s="93">
        <f t="shared" si="25"/>
        <v>0</v>
      </c>
      <c r="BI303" s="94">
        <f t="shared" si="26"/>
        <v>0</v>
      </c>
      <c r="BJ303" s="95" t="str">
        <f t="shared" si="27"/>
        <v>#VALUE!</v>
      </c>
      <c r="BK303" s="96">
        <f t="shared" si="28"/>
        <v>0</v>
      </c>
      <c r="BM303" s="97">
        <f t="shared" si="29"/>
        <v>1</v>
      </c>
    </row>
    <row r="304" ht="12.75" customHeight="1">
      <c r="A304" s="65"/>
      <c r="B304" s="66" t="s">
        <v>614</v>
      </c>
      <c r="C304" s="67">
        <v>47500.0</v>
      </c>
      <c r="D304" s="68">
        <v>13.0</v>
      </c>
      <c r="E304" s="67">
        <v>38214.41</v>
      </c>
      <c r="F304" s="68" t="s">
        <v>64</v>
      </c>
      <c r="G304" s="69">
        <v>45254.0</v>
      </c>
      <c r="H304" s="70" t="s">
        <v>57</v>
      </c>
      <c r="I304" s="100">
        <v>45623.0</v>
      </c>
      <c r="J304" s="71">
        <f t="shared" si="99"/>
        <v>12.3</v>
      </c>
      <c r="K304" s="98" t="s">
        <v>615</v>
      </c>
      <c r="L304" s="98">
        <v>50000.0</v>
      </c>
      <c r="M304" s="73">
        <v>900.5</v>
      </c>
      <c r="N304" s="73">
        <v>3313.7799999999997</v>
      </c>
      <c r="O304" s="101">
        <v>1032.0</v>
      </c>
      <c r="P304" s="73">
        <f t="shared" si="70"/>
        <v>0</v>
      </c>
      <c r="Q304" s="73">
        <f t="shared" si="71"/>
        <v>0</v>
      </c>
      <c r="R304" s="74">
        <f t="shared" si="72"/>
        <v>0</v>
      </c>
      <c r="S304" s="74">
        <f t="shared" si="73"/>
        <v>1</v>
      </c>
      <c r="T304" s="75"/>
      <c r="V304" s="76"/>
      <c r="W304" s="77"/>
      <c r="X304" s="77"/>
      <c r="Y304" s="77"/>
      <c r="Z304" s="77"/>
      <c r="AA304" s="77"/>
      <c r="AB304" s="78"/>
      <c r="AC304" s="77"/>
      <c r="AD304" s="79"/>
      <c r="AE304" s="80"/>
      <c r="AF304" s="81"/>
      <c r="AG304" s="79"/>
      <c r="AH304" s="80"/>
      <c r="AI304" s="82"/>
      <c r="AJ304" s="82"/>
      <c r="AK304" s="83"/>
      <c r="AL304" s="84"/>
      <c r="AP304" s="85">
        <f t="shared" si="9"/>
        <v>0</v>
      </c>
      <c r="AQ304" s="20">
        <f t="shared" si="10"/>
        <v>1</v>
      </c>
      <c r="AR304" s="20">
        <f t="shared" si="11"/>
        <v>0</v>
      </c>
      <c r="AS304" s="86">
        <f t="shared" si="12"/>
        <v>0</v>
      </c>
      <c r="AT304" s="87">
        <f t="shared" si="13"/>
        <v>0</v>
      </c>
      <c r="AU304" s="88">
        <f t="shared" si="81"/>
        <v>0</v>
      </c>
      <c r="AV304" s="89" t="str">
        <f t="shared" si="15"/>
        <v>#VALUE!</v>
      </c>
      <c r="AW304" s="90">
        <f t="shared" si="16"/>
        <v>0</v>
      </c>
      <c r="AY304" s="85">
        <f t="shared" si="17"/>
        <v>1</v>
      </c>
      <c r="AZ304" s="20">
        <f t="shared" si="18"/>
        <v>1</v>
      </c>
      <c r="BA304" s="20">
        <f t="shared" si="19"/>
        <v>1</v>
      </c>
      <c r="BB304" s="91">
        <f t="shared" si="20"/>
        <v>4345.78</v>
      </c>
      <c r="BC304" s="87">
        <f t="shared" si="21"/>
        <v>38214.41</v>
      </c>
      <c r="BD304" s="92">
        <f t="shared" si="22"/>
        <v>12.3</v>
      </c>
      <c r="BE304" s="89" t="str">
        <f t="shared" si="23"/>
        <v>#VALUE!</v>
      </c>
      <c r="BF304" s="90" t="str">
        <f t="shared" si="24"/>
        <v>#VALUE!</v>
      </c>
      <c r="BH304" s="93">
        <f t="shared" si="25"/>
        <v>38214.41</v>
      </c>
      <c r="BI304" s="94">
        <f t="shared" si="26"/>
        <v>1</v>
      </c>
      <c r="BJ304" s="95" t="str">
        <f t="shared" si="27"/>
        <v>#VALUE!</v>
      </c>
      <c r="BK304" s="96" t="str">
        <f t="shared" si="28"/>
        <v>#VALUE!</v>
      </c>
      <c r="BM304" s="97">
        <f t="shared" si="29"/>
        <v>1</v>
      </c>
    </row>
    <row r="305" ht="12.75" customHeight="1">
      <c r="A305" s="65"/>
      <c r="B305" s="66" t="s">
        <v>616</v>
      </c>
      <c r="C305" s="67">
        <v>50000.0</v>
      </c>
      <c r="D305" s="68">
        <v>13.0</v>
      </c>
      <c r="E305" s="67">
        <v>40099.3</v>
      </c>
      <c r="F305" s="68" t="s">
        <v>56</v>
      </c>
      <c r="G305" s="69">
        <v>45260.0</v>
      </c>
      <c r="H305" s="71" t="s">
        <v>543</v>
      </c>
      <c r="I305" s="69" t="s">
        <v>181</v>
      </c>
      <c r="J305" s="71" t="str">
        <f t="shared" si="99"/>
        <v>N/A</v>
      </c>
      <c r="K305" s="72" t="s">
        <v>181</v>
      </c>
      <c r="L305" s="72" t="s">
        <v>181</v>
      </c>
      <c r="M305" s="73"/>
      <c r="N305" s="73"/>
      <c r="O305" s="73"/>
      <c r="P305" s="73">
        <f t="shared" si="70"/>
        <v>0</v>
      </c>
      <c r="Q305" s="73">
        <f t="shared" si="71"/>
        <v>0</v>
      </c>
      <c r="R305" s="74" t="str">
        <f t="shared" si="72"/>
        <v>N/A</v>
      </c>
      <c r="S305" s="74" t="str">
        <f t="shared" si="73"/>
        <v>N/A</v>
      </c>
      <c r="T305" s="75"/>
      <c r="V305" s="76"/>
      <c r="W305" s="77"/>
      <c r="X305" s="77"/>
      <c r="Y305" s="77"/>
      <c r="Z305" s="77"/>
      <c r="AA305" s="77"/>
      <c r="AB305" s="78">
        <f>AA305+Z305+Y305+X305+V305+W305</f>
        <v>0</v>
      </c>
      <c r="AC305" s="77"/>
      <c r="AD305" s="79"/>
      <c r="AE305" s="80"/>
      <c r="AF305" s="81"/>
      <c r="AG305" s="79"/>
      <c r="AH305" s="80"/>
      <c r="AI305" s="82"/>
      <c r="AJ305" s="82">
        <f>AE305+AH305</f>
        <v>0</v>
      </c>
      <c r="AK305" s="83"/>
      <c r="AL305" s="84">
        <f>W305+X305+Y305+Z305+AK305</f>
        <v>0</v>
      </c>
      <c r="AP305" s="85">
        <f t="shared" si="9"/>
        <v>1</v>
      </c>
      <c r="AQ305" s="20">
        <f t="shared" si="10"/>
        <v>0</v>
      </c>
      <c r="AR305" s="20">
        <f t="shared" si="11"/>
        <v>0</v>
      </c>
      <c r="AS305" s="86">
        <f t="shared" si="12"/>
        <v>0</v>
      </c>
      <c r="AT305" s="87">
        <f t="shared" si="13"/>
        <v>0</v>
      </c>
      <c r="AU305" s="88">
        <f t="shared" si="81"/>
        <v>0</v>
      </c>
      <c r="AV305" s="89" t="str">
        <f t="shared" si="15"/>
        <v>#VALUE!</v>
      </c>
      <c r="AW305" s="90">
        <f t="shared" si="16"/>
        <v>0</v>
      </c>
      <c r="AY305" s="85">
        <f t="shared" si="17"/>
        <v>0</v>
      </c>
      <c r="AZ305" s="20">
        <f t="shared" si="18"/>
        <v>0</v>
      </c>
      <c r="BA305" s="20">
        <f t="shared" si="19"/>
        <v>0</v>
      </c>
      <c r="BB305" s="91">
        <f t="shared" si="20"/>
        <v>0</v>
      </c>
      <c r="BC305" s="87">
        <f t="shared" si="21"/>
        <v>0</v>
      </c>
      <c r="BD305" s="92">
        <f t="shared" si="22"/>
        <v>0</v>
      </c>
      <c r="BE305" s="89" t="str">
        <f t="shared" si="23"/>
        <v>#VALUE!</v>
      </c>
      <c r="BF305" s="90">
        <f t="shared" si="24"/>
        <v>0</v>
      </c>
      <c r="BH305" s="93">
        <f t="shared" si="25"/>
        <v>0</v>
      </c>
      <c r="BI305" s="94">
        <f t="shared" si="26"/>
        <v>0</v>
      </c>
      <c r="BJ305" s="95" t="str">
        <f t="shared" si="27"/>
        <v>#VALUE!</v>
      </c>
      <c r="BK305" s="96">
        <f t="shared" si="28"/>
        <v>0</v>
      </c>
      <c r="BM305" s="97">
        <f t="shared" si="29"/>
        <v>1</v>
      </c>
    </row>
    <row r="306" ht="12.75" customHeight="1">
      <c r="A306" s="65"/>
      <c r="B306" s="66" t="s">
        <v>617</v>
      </c>
      <c r="C306" s="67">
        <v>50000.0</v>
      </c>
      <c r="D306" s="68">
        <v>13.0</v>
      </c>
      <c r="E306" s="67">
        <v>38740.58</v>
      </c>
      <c r="F306" s="68" t="s">
        <v>64</v>
      </c>
      <c r="G306" s="69">
        <v>45273.0</v>
      </c>
      <c r="H306" s="71" t="s">
        <v>57</v>
      </c>
      <c r="I306" s="100">
        <v>45532.0</v>
      </c>
      <c r="J306" s="71">
        <f t="shared" si="99"/>
        <v>8.633333333</v>
      </c>
      <c r="K306" s="98" t="s">
        <v>618</v>
      </c>
      <c r="L306" s="98">
        <v>53100.0</v>
      </c>
      <c r="M306" s="73">
        <v>1236.33</v>
      </c>
      <c r="N306" s="110">
        <v>7526.88</v>
      </c>
      <c r="O306" s="101">
        <v>2518.72</v>
      </c>
      <c r="P306" s="73">
        <f t="shared" si="70"/>
        <v>0</v>
      </c>
      <c r="Q306" s="73">
        <f t="shared" si="71"/>
        <v>0</v>
      </c>
      <c r="R306" s="74">
        <f t="shared" si="72"/>
        <v>0</v>
      </c>
      <c r="S306" s="74">
        <f t="shared" si="73"/>
        <v>1</v>
      </c>
      <c r="T306" s="75"/>
      <c r="V306" s="76"/>
      <c r="W306" s="77"/>
      <c r="X306" s="77"/>
      <c r="Y306" s="77"/>
      <c r="Z306" s="77"/>
      <c r="AA306" s="77"/>
      <c r="AB306" s="78"/>
      <c r="AC306" s="77"/>
      <c r="AD306" s="79"/>
      <c r="AE306" s="80"/>
      <c r="AF306" s="81"/>
      <c r="AG306" s="79"/>
      <c r="AH306" s="80"/>
      <c r="AI306" s="82"/>
      <c r="AJ306" s="82"/>
      <c r="AK306" s="83"/>
      <c r="AL306" s="84"/>
      <c r="AP306" s="85">
        <f t="shared" si="9"/>
        <v>0</v>
      </c>
      <c r="AQ306" s="20">
        <f t="shared" si="10"/>
        <v>1</v>
      </c>
      <c r="AR306" s="20">
        <f t="shared" si="11"/>
        <v>0</v>
      </c>
      <c r="AS306" s="86">
        <f t="shared" si="12"/>
        <v>0</v>
      </c>
      <c r="AT306" s="87">
        <f t="shared" si="13"/>
        <v>0</v>
      </c>
      <c r="AU306" s="88">
        <f t="shared" si="81"/>
        <v>0</v>
      </c>
      <c r="AV306" s="89" t="str">
        <f t="shared" si="15"/>
        <v>#VALUE!</v>
      </c>
      <c r="AW306" s="90">
        <f t="shared" si="16"/>
        <v>0</v>
      </c>
      <c r="AY306" s="85">
        <f t="shared" si="17"/>
        <v>1</v>
      </c>
      <c r="AZ306" s="20">
        <f t="shared" si="18"/>
        <v>1</v>
      </c>
      <c r="BA306" s="20">
        <f t="shared" si="19"/>
        <v>1</v>
      </c>
      <c r="BB306" s="91">
        <f t="shared" si="20"/>
        <v>10045.6</v>
      </c>
      <c r="BC306" s="87">
        <f t="shared" si="21"/>
        <v>38740.58</v>
      </c>
      <c r="BD306" s="92">
        <f t="shared" si="22"/>
        <v>8.633333333</v>
      </c>
      <c r="BE306" s="89" t="str">
        <f t="shared" si="23"/>
        <v>#VALUE!</v>
      </c>
      <c r="BF306" s="90" t="str">
        <f t="shared" si="24"/>
        <v>#VALUE!</v>
      </c>
      <c r="BH306" s="93">
        <f t="shared" si="25"/>
        <v>38740.58</v>
      </c>
      <c r="BI306" s="94">
        <f t="shared" si="26"/>
        <v>1</v>
      </c>
      <c r="BJ306" s="95" t="str">
        <f t="shared" si="27"/>
        <v>#VALUE!</v>
      </c>
      <c r="BK306" s="96" t="str">
        <f t="shared" si="28"/>
        <v>#VALUE!</v>
      </c>
      <c r="BM306" s="97">
        <f t="shared" si="29"/>
        <v>1</v>
      </c>
    </row>
    <row r="307" ht="12.75" customHeight="1">
      <c r="A307" s="65"/>
      <c r="B307" s="66" t="s">
        <v>619</v>
      </c>
      <c r="C307" s="67">
        <v>79999.99</v>
      </c>
      <c r="D307" s="68">
        <v>13.0</v>
      </c>
      <c r="E307" s="67">
        <v>78162.78</v>
      </c>
      <c r="F307" s="68" t="s">
        <v>64</v>
      </c>
      <c r="G307" s="69">
        <v>45278.0</v>
      </c>
      <c r="H307" s="71" t="s">
        <v>57</v>
      </c>
      <c r="I307" s="69">
        <v>45351.0</v>
      </c>
      <c r="J307" s="71">
        <f t="shared" si="99"/>
        <v>2.433333333</v>
      </c>
      <c r="K307" s="72" t="s">
        <v>620</v>
      </c>
      <c r="L307" s="72">
        <v>95000.0</v>
      </c>
      <c r="M307" s="73">
        <v>1105.86</v>
      </c>
      <c r="N307" s="110">
        <v>11222.499999999998</v>
      </c>
      <c r="O307" s="73">
        <v>490.0</v>
      </c>
      <c r="P307" s="73">
        <f t="shared" si="70"/>
        <v>0</v>
      </c>
      <c r="Q307" s="73">
        <f t="shared" si="71"/>
        <v>0</v>
      </c>
      <c r="R307" s="74">
        <f t="shared" si="72"/>
        <v>0</v>
      </c>
      <c r="S307" s="74">
        <f t="shared" si="73"/>
        <v>1</v>
      </c>
      <c r="T307" s="75"/>
      <c r="V307" s="76">
        <v>209.0</v>
      </c>
      <c r="W307" s="77"/>
      <c r="X307" s="77">
        <v>14.63</v>
      </c>
      <c r="Y307" s="77"/>
      <c r="Z307" s="77">
        <f>159.6+257.07</f>
        <v>416.67</v>
      </c>
      <c r="AA307" s="77">
        <v>2177.32</v>
      </c>
      <c r="AB307" s="78">
        <f t="shared" ref="AB307:AB310" si="146">AA307+Z307+Y307+X307+V307+W307</f>
        <v>2817.62</v>
      </c>
      <c r="AC307" s="77">
        <v>78162.78</v>
      </c>
      <c r="AD307" s="79">
        <v>0.0175</v>
      </c>
      <c r="AE307" s="80">
        <f t="shared" ref="AE307:AE308" si="147">((AC307*AD307)/365)*180</f>
        <v>674.5554986</v>
      </c>
      <c r="AF307" s="81"/>
      <c r="AG307" s="79"/>
      <c r="AH307" s="80">
        <f t="shared" ref="AH307:AH309" si="148">((AF307*AG307)/365)*180</f>
        <v>0</v>
      </c>
      <c r="AI307" s="82">
        <f t="shared" ref="AI307:AI308" si="149">AC307+AF307</f>
        <v>78162.78</v>
      </c>
      <c r="AJ307" s="82">
        <f t="shared" ref="AJ307:AJ310" si="150">AE307+AH307</f>
        <v>674.5554986</v>
      </c>
      <c r="AK307" s="83">
        <f t="shared" ref="AK307:AK310" si="151">IF(AJ307&lt;AA307,AJ307,AA307)</f>
        <v>674.5554986</v>
      </c>
      <c r="AL307" s="84">
        <f t="shared" ref="AL307:AL310" si="152">W307+X307+Y307+Z307+AK307</f>
        <v>1105.855499</v>
      </c>
      <c r="AP307" s="85">
        <f t="shared" si="9"/>
        <v>0</v>
      </c>
      <c r="AQ307" s="20">
        <f t="shared" si="10"/>
        <v>1</v>
      </c>
      <c r="AR307" s="20">
        <f t="shared" si="11"/>
        <v>0</v>
      </c>
      <c r="AS307" s="86">
        <f t="shared" si="12"/>
        <v>0</v>
      </c>
      <c r="AT307" s="87">
        <f t="shared" si="13"/>
        <v>0</v>
      </c>
      <c r="AU307" s="88">
        <f t="shared" si="81"/>
        <v>0</v>
      </c>
      <c r="AV307" s="89" t="str">
        <f t="shared" si="15"/>
        <v>#VALUE!</v>
      </c>
      <c r="AW307" s="90">
        <f t="shared" si="16"/>
        <v>0</v>
      </c>
      <c r="AY307" s="85">
        <f t="shared" si="17"/>
        <v>1</v>
      </c>
      <c r="AZ307" s="20">
        <f t="shared" si="18"/>
        <v>1</v>
      </c>
      <c r="BA307" s="20">
        <f t="shared" si="19"/>
        <v>1</v>
      </c>
      <c r="BB307" s="91">
        <f t="shared" si="20"/>
        <v>11712.5</v>
      </c>
      <c r="BC307" s="87">
        <f t="shared" si="21"/>
        <v>78162.78</v>
      </c>
      <c r="BD307" s="92">
        <f t="shared" si="22"/>
        <v>2.433333333</v>
      </c>
      <c r="BE307" s="89" t="str">
        <f t="shared" si="23"/>
        <v>#VALUE!</v>
      </c>
      <c r="BF307" s="90" t="str">
        <f t="shared" si="24"/>
        <v>#VALUE!</v>
      </c>
      <c r="BH307" s="93">
        <f t="shared" si="25"/>
        <v>78162.78</v>
      </c>
      <c r="BI307" s="94">
        <f t="shared" si="26"/>
        <v>1</v>
      </c>
      <c r="BJ307" s="95" t="str">
        <f t="shared" si="27"/>
        <v>#VALUE!</v>
      </c>
      <c r="BK307" s="96" t="str">
        <f t="shared" si="28"/>
        <v>#VALUE!</v>
      </c>
      <c r="BM307" s="97">
        <f t="shared" si="29"/>
        <v>1</v>
      </c>
    </row>
    <row r="308" ht="12.75" customHeight="1">
      <c r="A308" s="65"/>
      <c r="B308" s="66" t="s">
        <v>621</v>
      </c>
      <c r="C308" s="67">
        <v>37500.0</v>
      </c>
      <c r="D308" s="68">
        <v>13.0</v>
      </c>
      <c r="E308" s="67">
        <v>26642.8</v>
      </c>
      <c r="F308" s="68" t="s">
        <v>64</v>
      </c>
      <c r="G308" s="69">
        <v>45278.0</v>
      </c>
      <c r="H308" s="71" t="s">
        <v>57</v>
      </c>
      <c r="I308" s="69">
        <v>45378.0</v>
      </c>
      <c r="J308" s="71">
        <f t="shared" si="99"/>
        <v>3.333333333</v>
      </c>
      <c r="K308" s="72" t="s">
        <v>622</v>
      </c>
      <c r="L308" s="72">
        <v>56000.0</v>
      </c>
      <c r="M308" s="73">
        <v>1177.8647589041097</v>
      </c>
      <c r="N308" s="110">
        <v>5952.92</v>
      </c>
      <c r="O308" s="73">
        <v>1484.0</v>
      </c>
      <c r="P308" s="73">
        <f t="shared" si="70"/>
        <v>0</v>
      </c>
      <c r="Q308" s="73">
        <f t="shared" si="71"/>
        <v>0</v>
      </c>
      <c r="R308" s="74">
        <f t="shared" si="72"/>
        <v>0</v>
      </c>
      <c r="S308" s="74">
        <f t="shared" si="73"/>
        <v>1</v>
      </c>
      <c r="T308" s="75"/>
      <c r="V308" s="76">
        <v>72.0</v>
      </c>
      <c r="W308" s="77"/>
      <c r="X308" s="77">
        <v>5.04</v>
      </c>
      <c r="Y308" s="77">
        <v>110.82</v>
      </c>
      <c r="Z308" s="77">
        <f>44.91+45+26.37+29.64+33.72</f>
        <v>179.64</v>
      </c>
      <c r="AA308" s="77">
        <f>956.05+843.51</f>
        <v>1799.56</v>
      </c>
      <c r="AB308" s="78">
        <f t="shared" si="146"/>
        <v>2167.06</v>
      </c>
      <c r="AC308" s="77">
        <v>15151.27</v>
      </c>
      <c r="AD308" s="79">
        <v>0.065</v>
      </c>
      <c r="AE308" s="80">
        <f t="shared" si="147"/>
        <v>485.6708466</v>
      </c>
      <c r="AF308" s="81">
        <v>11491.53</v>
      </c>
      <c r="AG308" s="79">
        <v>0.07</v>
      </c>
      <c r="AH308" s="80">
        <f t="shared" si="148"/>
        <v>396.6939123</v>
      </c>
      <c r="AI308" s="82">
        <f t="shared" si="149"/>
        <v>26642.8</v>
      </c>
      <c r="AJ308" s="82">
        <f t="shared" si="150"/>
        <v>882.3647589</v>
      </c>
      <c r="AK308" s="83">
        <f t="shared" si="151"/>
        <v>882.3647589</v>
      </c>
      <c r="AL308" s="84">
        <f t="shared" si="152"/>
        <v>1177.864759</v>
      </c>
      <c r="AP308" s="85">
        <f t="shared" si="9"/>
        <v>0</v>
      </c>
      <c r="AQ308" s="20">
        <f t="shared" si="10"/>
        <v>1</v>
      </c>
      <c r="AR308" s="20">
        <f t="shared" si="11"/>
        <v>0</v>
      </c>
      <c r="AS308" s="86">
        <f t="shared" si="12"/>
        <v>0</v>
      </c>
      <c r="AT308" s="87">
        <f t="shared" si="13"/>
        <v>0</v>
      </c>
      <c r="AU308" s="88">
        <f t="shared" si="81"/>
        <v>0</v>
      </c>
      <c r="AV308" s="89" t="str">
        <f t="shared" si="15"/>
        <v>#VALUE!</v>
      </c>
      <c r="AW308" s="90">
        <f t="shared" si="16"/>
        <v>0</v>
      </c>
      <c r="AY308" s="85">
        <f t="shared" si="17"/>
        <v>1</v>
      </c>
      <c r="AZ308" s="20">
        <f t="shared" si="18"/>
        <v>1</v>
      </c>
      <c r="BA308" s="20">
        <f t="shared" si="19"/>
        <v>1</v>
      </c>
      <c r="BB308" s="91">
        <f t="shared" si="20"/>
        <v>7436.92</v>
      </c>
      <c r="BC308" s="87">
        <f t="shared" si="21"/>
        <v>26642.8</v>
      </c>
      <c r="BD308" s="92">
        <f t="shared" si="22"/>
        <v>3.333333333</v>
      </c>
      <c r="BE308" s="89" t="str">
        <f t="shared" si="23"/>
        <v>#VALUE!</v>
      </c>
      <c r="BF308" s="90" t="str">
        <f t="shared" si="24"/>
        <v>#VALUE!</v>
      </c>
      <c r="BH308" s="93">
        <f t="shared" si="25"/>
        <v>26642.8</v>
      </c>
      <c r="BI308" s="94">
        <f t="shared" si="26"/>
        <v>1</v>
      </c>
      <c r="BJ308" s="95" t="str">
        <f t="shared" si="27"/>
        <v>#VALUE!</v>
      </c>
      <c r="BK308" s="96" t="str">
        <f t="shared" si="28"/>
        <v>#VALUE!</v>
      </c>
      <c r="BM308" s="97">
        <f t="shared" si="29"/>
        <v>1</v>
      </c>
    </row>
    <row r="309" ht="12.75" customHeight="1">
      <c r="A309" s="65"/>
      <c r="B309" s="66" t="s">
        <v>623</v>
      </c>
      <c r="C309" s="67">
        <v>46408.0</v>
      </c>
      <c r="D309" s="68">
        <v>13.0</v>
      </c>
      <c r="E309" s="67">
        <v>44200.87</v>
      </c>
      <c r="F309" s="68" t="s">
        <v>56</v>
      </c>
      <c r="G309" s="69">
        <v>45288.0</v>
      </c>
      <c r="H309" s="71" t="s">
        <v>57</v>
      </c>
      <c r="I309" s="69">
        <v>45289.0</v>
      </c>
      <c r="J309" s="71">
        <f t="shared" si="99"/>
        <v>0.03333333333</v>
      </c>
      <c r="K309" s="72" t="s">
        <v>624</v>
      </c>
      <c r="L309" s="72">
        <v>70000.0</v>
      </c>
      <c r="M309" s="73">
        <v>3973.89</v>
      </c>
      <c r="N309" s="73">
        <v>20610.64</v>
      </c>
      <c r="O309" s="73">
        <v>2759.61</v>
      </c>
      <c r="P309" s="73">
        <f t="shared" si="70"/>
        <v>0</v>
      </c>
      <c r="Q309" s="73">
        <f t="shared" si="71"/>
        <v>1545.01</v>
      </c>
      <c r="R309" s="74">
        <f t="shared" si="72"/>
        <v>0.03495428936</v>
      </c>
      <c r="S309" s="74">
        <f t="shared" si="73"/>
        <v>0.9650457106</v>
      </c>
      <c r="T309" s="75"/>
      <c r="V309" s="76">
        <v>744.0</v>
      </c>
      <c r="W309" s="77"/>
      <c r="X309" s="77">
        <v>52.08</v>
      </c>
      <c r="Y309" s="77"/>
      <c r="Z309" s="77">
        <f>573.81+3348</f>
        <v>3921.81</v>
      </c>
      <c r="AA309" s="77">
        <v>5502.87</v>
      </c>
      <c r="AB309" s="78">
        <f t="shared" si="146"/>
        <v>10220.76</v>
      </c>
      <c r="AC309" s="77">
        <v>44200.87</v>
      </c>
      <c r="AD309" s="79">
        <v>0.0175</v>
      </c>
      <c r="AE309" s="80"/>
      <c r="AF309" s="81"/>
      <c r="AG309" s="79"/>
      <c r="AH309" s="80">
        <f t="shared" si="148"/>
        <v>0</v>
      </c>
      <c r="AI309" s="82"/>
      <c r="AJ309" s="82">
        <f t="shared" si="150"/>
        <v>0</v>
      </c>
      <c r="AK309" s="83">
        <f t="shared" si="151"/>
        <v>0</v>
      </c>
      <c r="AL309" s="84">
        <f t="shared" si="152"/>
        <v>3973.89</v>
      </c>
      <c r="AP309" s="85">
        <f t="shared" si="9"/>
        <v>1</v>
      </c>
      <c r="AQ309" s="20">
        <f t="shared" si="10"/>
        <v>1</v>
      </c>
      <c r="AR309" s="20">
        <f t="shared" si="11"/>
        <v>1</v>
      </c>
      <c r="AS309" s="86">
        <f t="shared" si="12"/>
        <v>23370.25</v>
      </c>
      <c r="AT309" s="87">
        <f t="shared" si="13"/>
        <v>44200.87</v>
      </c>
      <c r="AU309" s="88">
        <f t="shared" si="81"/>
        <v>0.03333333333</v>
      </c>
      <c r="AV309" s="89" t="str">
        <f t="shared" si="15"/>
        <v>#VALUE!</v>
      </c>
      <c r="AW309" s="90" t="str">
        <f t="shared" si="16"/>
        <v>#VALUE!</v>
      </c>
      <c r="AY309" s="85">
        <f t="shared" si="17"/>
        <v>0</v>
      </c>
      <c r="AZ309" s="20">
        <f t="shared" si="18"/>
        <v>1</v>
      </c>
      <c r="BA309" s="20">
        <f t="shared" si="19"/>
        <v>0</v>
      </c>
      <c r="BB309" s="91">
        <f t="shared" si="20"/>
        <v>0</v>
      </c>
      <c r="BC309" s="87">
        <f t="shared" si="21"/>
        <v>0</v>
      </c>
      <c r="BD309" s="92">
        <f t="shared" si="22"/>
        <v>0</v>
      </c>
      <c r="BE309" s="89" t="str">
        <f t="shared" si="23"/>
        <v>#VALUE!</v>
      </c>
      <c r="BF309" s="90">
        <f t="shared" si="24"/>
        <v>0</v>
      </c>
      <c r="BH309" s="93">
        <f t="shared" si="25"/>
        <v>44200.87</v>
      </c>
      <c r="BI309" s="94">
        <f t="shared" si="26"/>
        <v>1</v>
      </c>
      <c r="BJ309" s="95" t="str">
        <f t="shared" si="27"/>
        <v>#VALUE!</v>
      </c>
      <c r="BK309" s="96" t="str">
        <f t="shared" si="28"/>
        <v>#VALUE!</v>
      </c>
      <c r="BM309" s="97">
        <f t="shared" si="29"/>
        <v>1</v>
      </c>
    </row>
    <row r="310" ht="12.75" customHeight="1">
      <c r="A310" s="65"/>
      <c r="B310" s="66" t="s">
        <v>625</v>
      </c>
      <c r="C310" s="67">
        <v>40000.0</v>
      </c>
      <c r="D310" s="68">
        <v>13.0</v>
      </c>
      <c r="E310" s="67">
        <v>30801.71</v>
      </c>
      <c r="F310" s="68" t="s">
        <v>56</v>
      </c>
      <c r="G310" s="69">
        <v>45288.0</v>
      </c>
      <c r="H310" s="71" t="s">
        <v>57</v>
      </c>
      <c r="I310" s="69">
        <v>45411.0</v>
      </c>
      <c r="J310" s="71">
        <f t="shared" si="99"/>
        <v>4.1</v>
      </c>
      <c r="K310" s="98" t="s">
        <v>626</v>
      </c>
      <c r="L310" s="72">
        <v>52000.0</v>
      </c>
      <c r="M310" s="73">
        <v>809.76</v>
      </c>
      <c r="N310" s="110">
        <v>6816.34</v>
      </c>
      <c r="O310" s="73">
        <v>2984.56</v>
      </c>
      <c r="P310" s="73">
        <f t="shared" si="70"/>
        <v>0</v>
      </c>
      <c r="Q310" s="73">
        <f t="shared" si="71"/>
        <v>0</v>
      </c>
      <c r="R310" s="74">
        <f t="shared" si="72"/>
        <v>0</v>
      </c>
      <c r="S310" s="74">
        <f t="shared" si="73"/>
        <v>1</v>
      </c>
      <c r="T310" s="75"/>
      <c r="V310" s="76">
        <v>625.5</v>
      </c>
      <c r="W310" s="77"/>
      <c r="X310" s="77">
        <v>43.79</v>
      </c>
      <c r="Y310" s="77"/>
      <c r="Z310" s="77">
        <f>210+260.5+257.5</f>
        <v>728</v>
      </c>
      <c r="AA310" s="77">
        <v>322.57</v>
      </c>
      <c r="AB310" s="78">
        <f t="shared" si="146"/>
        <v>1719.86</v>
      </c>
      <c r="AC310" s="77">
        <v>30801.71</v>
      </c>
      <c r="AD310" s="79">
        <v>0.0025</v>
      </c>
      <c r="AE310" s="80">
        <f>((AC310*AD310)/365)*180</f>
        <v>37.97471096</v>
      </c>
      <c r="AF310" s="81"/>
      <c r="AG310" s="79"/>
      <c r="AH310" s="80"/>
      <c r="AI310" s="82"/>
      <c r="AJ310" s="82">
        <f t="shared" si="150"/>
        <v>37.97471096</v>
      </c>
      <c r="AK310" s="83">
        <f t="shared" si="151"/>
        <v>37.97471096</v>
      </c>
      <c r="AL310" s="84">
        <f t="shared" si="152"/>
        <v>809.764711</v>
      </c>
      <c r="AP310" s="85">
        <f t="shared" si="9"/>
        <v>1</v>
      </c>
      <c r="AQ310" s="20">
        <f t="shared" si="10"/>
        <v>1</v>
      </c>
      <c r="AR310" s="20">
        <f t="shared" si="11"/>
        <v>1</v>
      </c>
      <c r="AS310" s="86">
        <f t="shared" si="12"/>
        <v>9800.9</v>
      </c>
      <c r="AT310" s="87">
        <f t="shared" si="13"/>
        <v>30801.71</v>
      </c>
      <c r="AU310" s="88">
        <f t="shared" si="81"/>
        <v>4.1</v>
      </c>
      <c r="AV310" s="89" t="str">
        <f t="shared" si="15"/>
        <v>#VALUE!</v>
      </c>
      <c r="AW310" s="90" t="str">
        <f t="shared" si="16"/>
        <v>#VALUE!</v>
      </c>
      <c r="AY310" s="85">
        <f t="shared" si="17"/>
        <v>0</v>
      </c>
      <c r="AZ310" s="20">
        <f t="shared" si="18"/>
        <v>1</v>
      </c>
      <c r="BA310" s="20">
        <f t="shared" si="19"/>
        <v>0</v>
      </c>
      <c r="BB310" s="91">
        <f t="shared" si="20"/>
        <v>0</v>
      </c>
      <c r="BC310" s="87">
        <f t="shared" si="21"/>
        <v>0</v>
      </c>
      <c r="BD310" s="92">
        <f t="shared" si="22"/>
        <v>0</v>
      </c>
      <c r="BE310" s="89" t="str">
        <f t="shared" si="23"/>
        <v>#VALUE!</v>
      </c>
      <c r="BF310" s="90">
        <f t="shared" si="24"/>
        <v>0</v>
      </c>
      <c r="BH310" s="93">
        <f t="shared" si="25"/>
        <v>30801.71</v>
      </c>
      <c r="BI310" s="94">
        <f t="shared" si="26"/>
        <v>1</v>
      </c>
      <c r="BJ310" s="95" t="str">
        <f t="shared" si="27"/>
        <v>#VALUE!</v>
      </c>
      <c r="BK310" s="96" t="str">
        <f t="shared" si="28"/>
        <v>#VALUE!</v>
      </c>
      <c r="BM310" s="97">
        <f t="shared" si="29"/>
        <v>1</v>
      </c>
    </row>
    <row r="311" ht="12.75" customHeight="1">
      <c r="A311" s="65"/>
      <c r="B311" s="115" t="s">
        <v>627</v>
      </c>
      <c r="C311" s="67">
        <v>78838.14</v>
      </c>
      <c r="D311" s="68">
        <v>13.0</v>
      </c>
      <c r="E311" s="67">
        <v>75126.95</v>
      </c>
      <c r="F311" s="68" t="s">
        <v>64</v>
      </c>
      <c r="G311" s="69">
        <v>45390.0</v>
      </c>
      <c r="H311" s="70" t="s">
        <v>57</v>
      </c>
      <c r="I311" s="100">
        <v>45563.0</v>
      </c>
      <c r="J311" s="71">
        <f t="shared" si="99"/>
        <v>5.766666667</v>
      </c>
      <c r="K311" s="98" t="s">
        <v>628</v>
      </c>
      <c r="L311" s="98">
        <v>78000.0</v>
      </c>
      <c r="M311" s="73">
        <v>1406.57</v>
      </c>
      <c r="N311" s="113">
        <v>6943.98</v>
      </c>
      <c r="O311" s="101">
        <v>70.0</v>
      </c>
      <c r="P311" s="73">
        <f t="shared" si="70"/>
        <v>0</v>
      </c>
      <c r="Q311" s="73">
        <f t="shared" si="71"/>
        <v>5547.5</v>
      </c>
      <c r="R311" s="74">
        <f t="shared" si="72"/>
        <v>0.07384167732</v>
      </c>
      <c r="S311" s="74">
        <f t="shared" si="73"/>
        <v>0.9261583227</v>
      </c>
      <c r="T311" s="75"/>
      <c r="V311" s="76"/>
      <c r="W311" s="77"/>
      <c r="X311" s="77"/>
      <c r="Y311" s="77"/>
      <c r="Z311" s="77"/>
      <c r="AA311" s="77"/>
      <c r="AB311" s="78"/>
      <c r="AC311" s="77"/>
      <c r="AD311" s="79"/>
      <c r="AE311" s="80"/>
      <c r="AF311" s="81"/>
      <c r="AG311" s="79"/>
      <c r="AH311" s="80"/>
      <c r="AI311" s="82"/>
      <c r="AJ311" s="82"/>
      <c r="AK311" s="83"/>
      <c r="AL311" s="84"/>
      <c r="AP311" s="85">
        <f t="shared" si="9"/>
        <v>0</v>
      </c>
      <c r="AQ311" s="20">
        <f t="shared" si="10"/>
        <v>1</v>
      </c>
      <c r="AR311" s="20">
        <f t="shared" si="11"/>
        <v>0</v>
      </c>
      <c r="AS311" s="86">
        <f t="shared" si="12"/>
        <v>0</v>
      </c>
      <c r="AT311" s="87">
        <f t="shared" si="13"/>
        <v>0</v>
      </c>
      <c r="AU311" s="88">
        <f t="shared" si="81"/>
        <v>0</v>
      </c>
      <c r="AV311" s="89" t="str">
        <f t="shared" si="15"/>
        <v>#VALUE!</v>
      </c>
      <c r="AW311" s="90">
        <f t="shared" si="16"/>
        <v>0</v>
      </c>
      <c r="AY311" s="85">
        <f t="shared" si="17"/>
        <v>1</v>
      </c>
      <c r="AZ311" s="20">
        <f t="shared" si="18"/>
        <v>1</v>
      </c>
      <c r="BA311" s="20">
        <f t="shared" si="19"/>
        <v>1</v>
      </c>
      <c r="BB311" s="91">
        <f t="shared" si="20"/>
        <v>7013.98</v>
      </c>
      <c r="BC311" s="87">
        <f t="shared" si="21"/>
        <v>75126.95</v>
      </c>
      <c r="BD311" s="92">
        <f t="shared" si="22"/>
        <v>5.766666667</v>
      </c>
      <c r="BE311" s="89" t="str">
        <f t="shared" si="23"/>
        <v>#VALUE!</v>
      </c>
      <c r="BF311" s="90" t="str">
        <f t="shared" si="24"/>
        <v>#VALUE!</v>
      </c>
      <c r="BH311" s="93">
        <f t="shared" si="25"/>
        <v>75126.95</v>
      </c>
      <c r="BI311" s="94">
        <f t="shared" si="26"/>
        <v>1</v>
      </c>
      <c r="BJ311" s="95" t="str">
        <f t="shared" si="27"/>
        <v>#VALUE!</v>
      </c>
      <c r="BK311" s="96" t="str">
        <f t="shared" si="28"/>
        <v>#VALUE!</v>
      </c>
      <c r="BM311" s="97">
        <f t="shared" si="29"/>
        <v>1</v>
      </c>
    </row>
    <row r="312" ht="12.75" customHeight="1">
      <c r="A312" s="65"/>
      <c r="B312" s="66" t="s">
        <v>629</v>
      </c>
      <c r="C312" s="67">
        <v>34886.7</v>
      </c>
      <c r="D312" s="68">
        <v>13.0</v>
      </c>
      <c r="E312" s="67">
        <v>25046.77</v>
      </c>
      <c r="F312" s="68" t="s">
        <v>56</v>
      </c>
      <c r="G312" s="69">
        <v>45288.0</v>
      </c>
      <c r="H312" s="71" t="s">
        <v>57</v>
      </c>
      <c r="I312" s="69">
        <v>45378.0</v>
      </c>
      <c r="J312" s="71">
        <f t="shared" si="99"/>
        <v>3</v>
      </c>
      <c r="K312" s="72" t="s">
        <v>630</v>
      </c>
      <c r="L312" s="72">
        <v>52000.0</v>
      </c>
      <c r="M312" s="73">
        <v>332.9395794520548</v>
      </c>
      <c r="N312" s="110">
        <v>9147.869999999999</v>
      </c>
      <c r="O312" s="73">
        <v>1800.4</v>
      </c>
      <c r="P312" s="73">
        <f t="shared" si="70"/>
        <v>0</v>
      </c>
      <c r="Q312" s="73">
        <f t="shared" si="71"/>
        <v>0</v>
      </c>
      <c r="R312" s="74">
        <f t="shared" si="72"/>
        <v>0</v>
      </c>
      <c r="S312" s="74">
        <f t="shared" si="73"/>
        <v>1</v>
      </c>
      <c r="T312" s="75"/>
      <c r="V312" s="76">
        <v>176.0</v>
      </c>
      <c r="W312" s="77"/>
      <c r="X312" s="77">
        <v>12.32</v>
      </c>
      <c r="Y312" s="77"/>
      <c r="Z312" s="77">
        <f>102.08+79.64+108.02</f>
        <v>289.74</v>
      </c>
      <c r="AA312" s="77">
        <v>117.69</v>
      </c>
      <c r="AB312" s="78">
        <f>AA312+Z312+Y312+X312+V312+W312</f>
        <v>595.75</v>
      </c>
      <c r="AC312" s="77">
        <v>25046.77</v>
      </c>
      <c r="AD312" s="79">
        <v>0.0025</v>
      </c>
      <c r="AE312" s="80">
        <f>((AC312*AD312)/365)*180</f>
        <v>30.87957945</v>
      </c>
      <c r="AF312" s="81"/>
      <c r="AG312" s="79"/>
      <c r="AH312" s="80">
        <f>((AF312*AG312)/365)*180</f>
        <v>0</v>
      </c>
      <c r="AI312" s="82">
        <f>AC312+AF312</f>
        <v>25046.77</v>
      </c>
      <c r="AJ312" s="82">
        <f>AE312+AH312</f>
        <v>30.87957945</v>
      </c>
      <c r="AK312" s="83">
        <f>IF(AJ312&lt;AA312,AJ312,AA312)</f>
        <v>30.87957945</v>
      </c>
      <c r="AL312" s="84">
        <f>W312+X312+Y312+Z312+AK312</f>
        <v>332.9395795</v>
      </c>
      <c r="AP312" s="85">
        <f t="shared" si="9"/>
        <v>1</v>
      </c>
      <c r="AQ312" s="20">
        <f t="shared" si="10"/>
        <v>1</v>
      </c>
      <c r="AR312" s="20">
        <f t="shared" si="11"/>
        <v>1</v>
      </c>
      <c r="AS312" s="86">
        <f t="shared" si="12"/>
        <v>10948.27</v>
      </c>
      <c r="AT312" s="87">
        <f t="shared" si="13"/>
        <v>25046.77</v>
      </c>
      <c r="AU312" s="88">
        <f t="shared" si="81"/>
        <v>3</v>
      </c>
      <c r="AV312" s="89" t="str">
        <f t="shared" si="15"/>
        <v>#VALUE!</v>
      </c>
      <c r="AW312" s="90" t="str">
        <f t="shared" si="16"/>
        <v>#VALUE!</v>
      </c>
      <c r="AY312" s="85">
        <f t="shared" si="17"/>
        <v>0</v>
      </c>
      <c r="AZ312" s="20">
        <f t="shared" si="18"/>
        <v>1</v>
      </c>
      <c r="BA312" s="20">
        <f t="shared" si="19"/>
        <v>0</v>
      </c>
      <c r="BB312" s="91">
        <f t="shared" si="20"/>
        <v>0</v>
      </c>
      <c r="BC312" s="87">
        <f t="shared" si="21"/>
        <v>0</v>
      </c>
      <c r="BD312" s="92">
        <f t="shared" si="22"/>
        <v>0</v>
      </c>
      <c r="BE312" s="89" t="str">
        <f t="shared" si="23"/>
        <v>#VALUE!</v>
      </c>
      <c r="BF312" s="90">
        <f t="shared" si="24"/>
        <v>0</v>
      </c>
      <c r="BH312" s="93">
        <f t="shared" si="25"/>
        <v>25046.77</v>
      </c>
      <c r="BI312" s="94">
        <f t="shared" si="26"/>
        <v>1</v>
      </c>
      <c r="BJ312" s="95" t="str">
        <f t="shared" si="27"/>
        <v>#VALUE!</v>
      </c>
      <c r="BK312" s="96" t="str">
        <f t="shared" si="28"/>
        <v>#VALUE!</v>
      </c>
      <c r="BM312" s="97">
        <f t="shared" si="29"/>
        <v>1</v>
      </c>
    </row>
    <row r="313" ht="12.75" customHeight="1">
      <c r="A313" s="65"/>
      <c r="B313" s="66" t="s">
        <v>631</v>
      </c>
      <c r="C313" s="67">
        <v>45000.0</v>
      </c>
      <c r="D313" s="68">
        <v>13.0</v>
      </c>
      <c r="E313" s="67">
        <v>35152.72</v>
      </c>
      <c r="F313" s="68" t="s">
        <v>56</v>
      </c>
      <c r="G313" s="69">
        <v>45288.0</v>
      </c>
      <c r="H313" s="71" t="s">
        <v>57</v>
      </c>
      <c r="I313" s="100">
        <v>45503.0</v>
      </c>
      <c r="J313" s="71">
        <f t="shared" si="99"/>
        <v>7.166666667</v>
      </c>
      <c r="K313" s="98" t="s">
        <v>632</v>
      </c>
      <c r="L313" s="98">
        <v>52000.0</v>
      </c>
      <c r="M313" s="73">
        <v>2757.56</v>
      </c>
      <c r="N313" s="101">
        <v>7682.81</v>
      </c>
      <c r="O313" s="101">
        <v>2454.6</v>
      </c>
      <c r="P313" s="73">
        <f t="shared" si="70"/>
        <v>0</v>
      </c>
      <c r="Q313" s="73">
        <f t="shared" si="71"/>
        <v>0</v>
      </c>
      <c r="R313" s="74">
        <f t="shared" si="72"/>
        <v>0</v>
      </c>
      <c r="S313" s="74">
        <f t="shared" si="73"/>
        <v>1</v>
      </c>
      <c r="T313" s="75"/>
      <c r="V313" s="76"/>
      <c r="W313" s="77"/>
      <c r="X313" s="77"/>
      <c r="Y313" s="77"/>
      <c r="Z313" s="77"/>
      <c r="AA313" s="77"/>
      <c r="AB313" s="78"/>
      <c r="AC313" s="77"/>
      <c r="AD313" s="79"/>
      <c r="AE313" s="80"/>
      <c r="AF313" s="81"/>
      <c r="AG313" s="79"/>
      <c r="AH313" s="80"/>
      <c r="AI313" s="82"/>
      <c r="AJ313" s="82"/>
      <c r="AK313" s="83"/>
      <c r="AL313" s="84"/>
      <c r="AP313" s="85">
        <f t="shared" si="9"/>
        <v>1</v>
      </c>
      <c r="AQ313" s="20">
        <f t="shared" si="10"/>
        <v>1</v>
      </c>
      <c r="AR313" s="20">
        <f t="shared" si="11"/>
        <v>1</v>
      </c>
      <c r="AS313" s="86">
        <f t="shared" si="12"/>
        <v>10137.41</v>
      </c>
      <c r="AT313" s="87">
        <f t="shared" si="13"/>
        <v>35152.72</v>
      </c>
      <c r="AU313" s="88">
        <f t="shared" si="81"/>
        <v>7.166666667</v>
      </c>
      <c r="AV313" s="89" t="str">
        <f t="shared" si="15"/>
        <v>#VALUE!</v>
      </c>
      <c r="AW313" s="90" t="str">
        <f t="shared" si="16"/>
        <v>#VALUE!</v>
      </c>
      <c r="AY313" s="85">
        <f t="shared" si="17"/>
        <v>0</v>
      </c>
      <c r="AZ313" s="20">
        <f t="shared" si="18"/>
        <v>1</v>
      </c>
      <c r="BA313" s="20">
        <f t="shared" si="19"/>
        <v>0</v>
      </c>
      <c r="BB313" s="91">
        <f t="shared" si="20"/>
        <v>0</v>
      </c>
      <c r="BC313" s="87">
        <f t="shared" si="21"/>
        <v>0</v>
      </c>
      <c r="BD313" s="92">
        <f t="shared" si="22"/>
        <v>0</v>
      </c>
      <c r="BE313" s="89" t="str">
        <f t="shared" si="23"/>
        <v>#VALUE!</v>
      </c>
      <c r="BF313" s="90">
        <f t="shared" si="24"/>
        <v>0</v>
      </c>
      <c r="BH313" s="93">
        <f t="shared" si="25"/>
        <v>35152.72</v>
      </c>
      <c r="BI313" s="94">
        <f t="shared" si="26"/>
        <v>1</v>
      </c>
      <c r="BJ313" s="95" t="str">
        <f t="shared" si="27"/>
        <v>#VALUE!</v>
      </c>
      <c r="BK313" s="96" t="str">
        <f t="shared" si="28"/>
        <v>#VALUE!</v>
      </c>
      <c r="BM313" s="97">
        <f t="shared" si="29"/>
        <v>1</v>
      </c>
    </row>
    <row r="314" ht="12.75" customHeight="1">
      <c r="A314" s="65"/>
      <c r="B314" s="66" t="s">
        <v>633</v>
      </c>
      <c r="C314" s="67">
        <v>72500.0</v>
      </c>
      <c r="D314" s="68">
        <v>13.0</v>
      </c>
      <c r="E314" s="67">
        <v>55737.21</v>
      </c>
      <c r="F314" s="68" t="s">
        <v>56</v>
      </c>
      <c r="G314" s="69">
        <v>45289.0</v>
      </c>
      <c r="H314" s="71" t="s">
        <v>543</v>
      </c>
      <c r="I314" s="69" t="s">
        <v>181</v>
      </c>
      <c r="J314" s="71" t="str">
        <f t="shared" si="99"/>
        <v>N/A</v>
      </c>
      <c r="K314" s="72" t="s">
        <v>181</v>
      </c>
      <c r="L314" s="72" t="s">
        <v>181</v>
      </c>
      <c r="M314" s="73"/>
      <c r="N314" s="73"/>
      <c r="O314" s="73"/>
      <c r="P314" s="73">
        <f t="shared" si="70"/>
        <v>0</v>
      </c>
      <c r="Q314" s="73">
        <f t="shared" si="71"/>
        <v>0</v>
      </c>
      <c r="R314" s="74" t="str">
        <f t="shared" si="72"/>
        <v>N/A</v>
      </c>
      <c r="S314" s="74" t="str">
        <f t="shared" si="73"/>
        <v>N/A</v>
      </c>
      <c r="T314" s="75"/>
      <c r="V314" s="76"/>
      <c r="W314" s="77"/>
      <c r="X314" s="77"/>
      <c r="Y314" s="77"/>
      <c r="Z314" s="77"/>
      <c r="AA314" s="77"/>
      <c r="AB314" s="78">
        <f>AA314+Z314+Y314+X314+V314+W314</f>
        <v>0</v>
      </c>
      <c r="AC314" s="77"/>
      <c r="AD314" s="79"/>
      <c r="AE314" s="80"/>
      <c r="AF314" s="81"/>
      <c r="AG314" s="79"/>
      <c r="AH314" s="80"/>
      <c r="AI314" s="82"/>
      <c r="AJ314" s="82">
        <f>AE314+AH314</f>
        <v>0</v>
      </c>
      <c r="AK314" s="83"/>
      <c r="AL314" s="84">
        <f>W314+X314+Y314+Z314+AK314</f>
        <v>0</v>
      </c>
      <c r="AP314" s="85">
        <f t="shared" si="9"/>
        <v>1</v>
      </c>
      <c r="AQ314" s="20">
        <f t="shared" si="10"/>
        <v>0</v>
      </c>
      <c r="AR314" s="20">
        <f t="shared" si="11"/>
        <v>0</v>
      </c>
      <c r="AS314" s="86">
        <f t="shared" si="12"/>
        <v>0</v>
      </c>
      <c r="AT314" s="87">
        <f t="shared" si="13"/>
        <v>0</v>
      </c>
      <c r="AU314" s="88">
        <f t="shared" si="81"/>
        <v>0</v>
      </c>
      <c r="AV314" s="89" t="str">
        <f t="shared" si="15"/>
        <v>#VALUE!</v>
      </c>
      <c r="AW314" s="90">
        <f t="shared" si="16"/>
        <v>0</v>
      </c>
      <c r="AY314" s="85">
        <f t="shared" si="17"/>
        <v>0</v>
      </c>
      <c r="AZ314" s="20">
        <f t="shared" si="18"/>
        <v>0</v>
      </c>
      <c r="BA314" s="20">
        <f t="shared" si="19"/>
        <v>0</v>
      </c>
      <c r="BB314" s="91">
        <f t="shared" si="20"/>
        <v>0</v>
      </c>
      <c r="BC314" s="87">
        <f t="shared" si="21"/>
        <v>0</v>
      </c>
      <c r="BD314" s="92">
        <f t="shared" si="22"/>
        <v>0</v>
      </c>
      <c r="BE314" s="89" t="str">
        <f t="shared" si="23"/>
        <v>#VALUE!</v>
      </c>
      <c r="BF314" s="90">
        <f t="shared" si="24"/>
        <v>0</v>
      </c>
      <c r="BH314" s="93">
        <f t="shared" si="25"/>
        <v>0</v>
      </c>
      <c r="BI314" s="94">
        <f t="shared" si="26"/>
        <v>0</v>
      </c>
      <c r="BJ314" s="95" t="str">
        <f t="shared" si="27"/>
        <v>#VALUE!</v>
      </c>
      <c r="BK314" s="96">
        <f t="shared" si="28"/>
        <v>0</v>
      </c>
      <c r="BM314" s="97">
        <f t="shared" si="29"/>
        <v>1</v>
      </c>
    </row>
    <row r="315" ht="12.75" customHeight="1">
      <c r="A315" s="65"/>
      <c r="B315" s="66" t="s">
        <v>634</v>
      </c>
      <c r="C315" s="67">
        <v>50000.0</v>
      </c>
      <c r="D315" s="68">
        <v>13.0</v>
      </c>
      <c r="E315" s="67">
        <v>36251.25</v>
      </c>
      <c r="F315" s="68" t="s">
        <v>56</v>
      </c>
      <c r="G315" s="69">
        <v>45288.0</v>
      </c>
      <c r="H315" s="70" t="s">
        <v>57</v>
      </c>
      <c r="I315" s="100">
        <v>45562.0</v>
      </c>
      <c r="J315" s="71">
        <f t="shared" si="99"/>
        <v>9.133333333</v>
      </c>
      <c r="K315" s="98" t="s">
        <v>635</v>
      </c>
      <c r="L315" s="98">
        <v>45000.0</v>
      </c>
      <c r="M315" s="73">
        <v>2432.06</v>
      </c>
      <c r="N315" s="110">
        <v>8394.82</v>
      </c>
      <c r="O315" s="101">
        <v>335.0</v>
      </c>
      <c r="P315" s="73">
        <f t="shared" si="70"/>
        <v>0</v>
      </c>
      <c r="Q315" s="73">
        <f t="shared" si="71"/>
        <v>2413.13</v>
      </c>
      <c r="R315" s="74">
        <f t="shared" si="72"/>
        <v>0.06656680804</v>
      </c>
      <c r="S315" s="74">
        <f t="shared" si="73"/>
        <v>0.933433192</v>
      </c>
      <c r="T315" s="75"/>
      <c r="V315" s="76"/>
      <c r="W315" s="77"/>
      <c r="X315" s="77"/>
      <c r="Y315" s="77"/>
      <c r="Z315" s="77"/>
      <c r="AA315" s="77"/>
      <c r="AB315" s="78"/>
      <c r="AC315" s="77"/>
      <c r="AD315" s="79"/>
      <c r="AE315" s="80"/>
      <c r="AF315" s="81"/>
      <c r="AG315" s="79"/>
      <c r="AH315" s="80"/>
      <c r="AI315" s="82"/>
      <c r="AJ315" s="82"/>
      <c r="AK315" s="83"/>
      <c r="AL315" s="84"/>
      <c r="AP315" s="85">
        <f t="shared" si="9"/>
        <v>1</v>
      </c>
      <c r="AQ315" s="20">
        <f t="shared" si="10"/>
        <v>1</v>
      </c>
      <c r="AR315" s="20">
        <f t="shared" si="11"/>
        <v>1</v>
      </c>
      <c r="AS315" s="86">
        <f t="shared" si="12"/>
        <v>8729.82</v>
      </c>
      <c r="AT315" s="87">
        <f t="shared" si="13"/>
        <v>36251.25</v>
      </c>
      <c r="AU315" s="88">
        <f t="shared" si="81"/>
        <v>9.133333333</v>
      </c>
      <c r="AV315" s="89" t="str">
        <f t="shared" si="15"/>
        <v>#VALUE!</v>
      </c>
      <c r="AW315" s="90" t="str">
        <f t="shared" si="16"/>
        <v>#VALUE!</v>
      </c>
      <c r="AY315" s="85">
        <f t="shared" si="17"/>
        <v>0</v>
      </c>
      <c r="AZ315" s="20">
        <f t="shared" si="18"/>
        <v>1</v>
      </c>
      <c r="BA315" s="20">
        <f t="shared" si="19"/>
        <v>0</v>
      </c>
      <c r="BB315" s="91">
        <f t="shared" si="20"/>
        <v>0</v>
      </c>
      <c r="BC315" s="87">
        <f t="shared" si="21"/>
        <v>0</v>
      </c>
      <c r="BD315" s="92">
        <f t="shared" si="22"/>
        <v>0</v>
      </c>
      <c r="BE315" s="89" t="str">
        <f t="shared" si="23"/>
        <v>#VALUE!</v>
      </c>
      <c r="BF315" s="90">
        <f t="shared" si="24"/>
        <v>0</v>
      </c>
      <c r="BH315" s="93">
        <f t="shared" si="25"/>
        <v>36251.25</v>
      </c>
      <c r="BI315" s="94">
        <f t="shared" si="26"/>
        <v>1</v>
      </c>
      <c r="BJ315" s="95" t="str">
        <f t="shared" si="27"/>
        <v>#VALUE!</v>
      </c>
      <c r="BK315" s="96" t="str">
        <f t="shared" si="28"/>
        <v>#VALUE!</v>
      </c>
      <c r="BM315" s="97">
        <f t="shared" si="29"/>
        <v>1</v>
      </c>
    </row>
    <row r="316" ht="12.75" customHeight="1">
      <c r="A316" s="65"/>
      <c r="B316" s="66" t="s">
        <v>636</v>
      </c>
      <c r="C316" s="67">
        <v>108000.0</v>
      </c>
      <c r="D316" s="68">
        <v>13.0</v>
      </c>
      <c r="E316" s="67">
        <v>94881.9</v>
      </c>
      <c r="F316" s="68" t="s">
        <v>64</v>
      </c>
      <c r="G316" s="69">
        <v>45139.0</v>
      </c>
      <c r="H316" s="71" t="s">
        <v>57</v>
      </c>
      <c r="I316" s="100">
        <v>45533.0</v>
      </c>
      <c r="J316" s="71">
        <f t="shared" si="99"/>
        <v>13.13333333</v>
      </c>
      <c r="K316" s="98" t="s">
        <v>637</v>
      </c>
      <c r="L316" s="98">
        <v>110000.0</v>
      </c>
      <c r="M316" s="101">
        <v>3079.22</v>
      </c>
      <c r="N316" s="110">
        <v>13735.169999999998</v>
      </c>
      <c r="O316" s="101">
        <v>4051.84</v>
      </c>
      <c r="P316" s="73">
        <f t="shared" si="70"/>
        <v>0</v>
      </c>
      <c r="Q316" s="73">
        <f t="shared" si="71"/>
        <v>5748.13</v>
      </c>
      <c r="R316" s="74">
        <f t="shared" si="72"/>
        <v>0.0605819445</v>
      </c>
      <c r="S316" s="74">
        <f t="shared" si="73"/>
        <v>0.9394180555</v>
      </c>
      <c r="T316" s="75"/>
      <c r="V316" s="76"/>
      <c r="W316" s="77"/>
      <c r="X316" s="77"/>
      <c r="Y316" s="77"/>
      <c r="Z316" s="77"/>
      <c r="AA316" s="77"/>
      <c r="AB316" s="78"/>
      <c r="AC316" s="77"/>
      <c r="AD316" s="79"/>
      <c r="AE316" s="80"/>
      <c r="AF316" s="81"/>
      <c r="AG316" s="79"/>
      <c r="AH316" s="80"/>
      <c r="AI316" s="82"/>
      <c r="AJ316" s="82"/>
      <c r="AK316" s="83"/>
      <c r="AL316" s="84"/>
      <c r="AM316" s="23">
        <v>2254.47</v>
      </c>
      <c r="AN316" s="111">
        <f>AM316+Z316</f>
        <v>2254.47</v>
      </c>
      <c r="AP316" s="85">
        <f t="shared" si="9"/>
        <v>0</v>
      </c>
      <c r="AQ316" s="20">
        <f t="shared" si="10"/>
        <v>1</v>
      </c>
      <c r="AR316" s="20">
        <f t="shared" si="11"/>
        <v>0</v>
      </c>
      <c r="AS316" s="86">
        <f t="shared" si="12"/>
        <v>0</v>
      </c>
      <c r="AT316" s="87">
        <f t="shared" si="13"/>
        <v>0</v>
      </c>
      <c r="AU316" s="88">
        <f t="shared" si="81"/>
        <v>0</v>
      </c>
      <c r="AV316" s="89" t="str">
        <f t="shared" si="15"/>
        <v>#VALUE!</v>
      </c>
      <c r="AW316" s="90">
        <f t="shared" si="16"/>
        <v>0</v>
      </c>
      <c r="AY316" s="85">
        <f t="shared" si="17"/>
        <v>1</v>
      </c>
      <c r="AZ316" s="20">
        <f t="shared" si="18"/>
        <v>1</v>
      </c>
      <c r="BA316" s="20">
        <f t="shared" si="19"/>
        <v>1</v>
      </c>
      <c r="BB316" s="91">
        <f t="shared" si="20"/>
        <v>17787.01</v>
      </c>
      <c r="BC316" s="87">
        <f t="shared" si="21"/>
        <v>94881.9</v>
      </c>
      <c r="BD316" s="92">
        <f t="shared" si="22"/>
        <v>13.13333333</v>
      </c>
      <c r="BE316" s="89" t="str">
        <f t="shared" si="23"/>
        <v>#VALUE!</v>
      </c>
      <c r="BF316" s="90" t="str">
        <f t="shared" si="24"/>
        <v>#VALUE!</v>
      </c>
      <c r="BH316" s="93">
        <f t="shared" si="25"/>
        <v>94881.9</v>
      </c>
      <c r="BI316" s="94">
        <f t="shared" si="26"/>
        <v>1</v>
      </c>
      <c r="BJ316" s="95" t="str">
        <f t="shared" si="27"/>
        <v>#VALUE!</v>
      </c>
      <c r="BK316" s="96" t="str">
        <f t="shared" si="28"/>
        <v>#VALUE!</v>
      </c>
      <c r="BM316" s="97">
        <f t="shared" si="29"/>
        <v>1</v>
      </c>
    </row>
    <row r="317" ht="12.75" customHeight="1">
      <c r="A317" s="65"/>
      <c r="B317" s="66" t="s">
        <v>638</v>
      </c>
      <c r="C317" s="67">
        <v>47500.0</v>
      </c>
      <c r="D317" s="68">
        <v>13.0</v>
      </c>
      <c r="E317" s="67">
        <v>35818.39</v>
      </c>
      <c r="F317" s="68" t="s">
        <v>64</v>
      </c>
      <c r="G317" s="69">
        <v>45309.0</v>
      </c>
      <c r="H317" s="70" t="s">
        <v>57</v>
      </c>
      <c r="I317" s="100">
        <v>45559.0</v>
      </c>
      <c r="J317" s="71">
        <f t="shared" si="99"/>
        <v>8.333333333</v>
      </c>
      <c r="K317" s="98" t="s">
        <v>639</v>
      </c>
      <c r="L317" s="98">
        <v>53000.0</v>
      </c>
      <c r="M317" s="73">
        <v>1100.66</v>
      </c>
      <c r="N317" s="113">
        <v>6291.099999999999</v>
      </c>
      <c r="O317" s="101">
        <v>1120.21</v>
      </c>
      <c r="P317" s="73">
        <f t="shared" si="70"/>
        <v>0</v>
      </c>
      <c r="Q317" s="73">
        <f t="shared" si="71"/>
        <v>0</v>
      </c>
      <c r="R317" s="74">
        <f t="shared" si="72"/>
        <v>0</v>
      </c>
      <c r="S317" s="74">
        <f t="shared" si="73"/>
        <v>1</v>
      </c>
      <c r="T317" s="75"/>
      <c r="V317" s="76"/>
      <c r="W317" s="77"/>
      <c r="X317" s="77"/>
      <c r="Y317" s="77"/>
      <c r="Z317" s="77"/>
      <c r="AA317" s="77"/>
      <c r="AB317" s="78"/>
      <c r="AC317" s="77"/>
      <c r="AD317" s="79"/>
      <c r="AE317" s="80"/>
      <c r="AF317" s="81"/>
      <c r="AG317" s="79"/>
      <c r="AH317" s="80"/>
      <c r="AI317" s="82"/>
      <c r="AJ317" s="82"/>
      <c r="AK317" s="83"/>
      <c r="AL317" s="84"/>
      <c r="AP317" s="85">
        <f t="shared" si="9"/>
        <v>0</v>
      </c>
      <c r="AQ317" s="20">
        <f t="shared" si="10"/>
        <v>1</v>
      </c>
      <c r="AR317" s="20">
        <f t="shared" si="11"/>
        <v>0</v>
      </c>
      <c r="AS317" s="86">
        <f t="shared" si="12"/>
        <v>0</v>
      </c>
      <c r="AT317" s="87">
        <f t="shared" si="13"/>
        <v>0</v>
      </c>
      <c r="AU317" s="88">
        <f t="shared" si="81"/>
        <v>0</v>
      </c>
      <c r="AV317" s="89" t="str">
        <f t="shared" si="15"/>
        <v>#VALUE!</v>
      </c>
      <c r="AW317" s="90">
        <f t="shared" si="16"/>
        <v>0</v>
      </c>
      <c r="AY317" s="85">
        <f t="shared" si="17"/>
        <v>1</v>
      </c>
      <c r="AZ317" s="20">
        <f t="shared" si="18"/>
        <v>1</v>
      </c>
      <c r="BA317" s="20">
        <f t="shared" si="19"/>
        <v>1</v>
      </c>
      <c r="BB317" s="91">
        <f t="shared" si="20"/>
        <v>7411.31</v>
      </c>
      <c r="BC317" s="87">
        <f t="shared" si="21"/>
        <v>35818.39</v>
      </c>
      <c r="BD317" s="92">
        <f t="shared" si="22"/>
        <v>8.333333333</v>
      </c>
      <c r="BE317" s="89" t="str">
        <f t="shared" si="23"/>
        <v>#VALUE!</v>
      </c>
      <c r="BF317" s="90" t="str">
        <f t="shared" si="24"/>
        <v>#VALUE!</v>
      </c>
      <c r="BH317" s="93">
        <f t="shared" si="25"/>
        <v>35818.39</v>
      </c>
      <c r="BI317" s="94">
        <f t="shared" si="26"/>
        <v>1</v>
      </c>
      <c r="BJ317" s="95" t="str">
        <f t="shared" si="27"/>
        <v>#VALUE!</v>
      </c>
      <c r="BK317" s="96" t="str">
        <f t="shared" si="28"/>
        <v>#VALUE!</v>
      </c>
      <c r="BM317" s="97">
        <f t="shared" si="29"/>
        <v>1</v>
      </c>
    </row>
    <row r="318" ht="12.75" customHeight="1">
      <c r="A318" s="65"/>
      <c r="B318" s="66" t="s">
        <v>640</v>
      </c>
      <c r="C318" s="67">
        <v>31632.65</v>
      </c>
      <c r="D318" s="68">
        <v>13.0</v>
      </c>
      <c r="E318" s="67">
        <v>25250.45</v>
      </c>
      <c r="F318" s="68" t="s">
        <v>56</v>
      </c>
      <c r="G318" s="69">
        <v>45322.0</v>
      </c>
      <c r="H318" s="71" t="s">
        <v>57</v>
      </c>
      <c r="I318" s="69">
        <v>45411.0</v>
      </c>
      <c r="J318" s="71">
        <f t="shared" si="99"/>
        <v>2.966666667</v>
      </c>
      <c r="K318" s="72" t="s">
        <v>641</v>
      </c>
      <c r="L318" s="72">
        <v>43800.0</v>
      </c>
      <c r="M318" s="73">
        <v>796.01</v>
      </c>
      <c r="N318" s="113">
        <v>10545.65</v>
      </c>
      <c r="O318" s="73">
        <v>3604.04</v>
      </c>
      <c r="P318" s="73">
        <f t="shared" si="70"/>
        <v>0</v>
      </c>
      <c r="Q318" s="73">
        <f t="shared" si="71"/>
        <v>0</v>
      </c>
      <c r="R318" s="74">
        <f t="shared" si="72"/>
        <v>0</v>
      </c>
      <c r="S318" s="74">
        <f t="shared" si="73"/>
        <v>1</v>
      </c>
      <c r="T318" s="75"/>
      <c r="V318" s="76">
        <v>492.0</v>
      </c>
      <c r="W318" s="77"/>
      <c r="X318" s="77">
        <v>34.44</v>
      </c>
      <c r="Y318" s="77"/>
      <c r="Z318" s="77">
        <f>172.61+161.95+209.1</f>
        <v>543.66</v>
      </c>
      <c r="AA318" s="77">
        <v>1510.88</v>
      </c>
      <c r="AB318" s="78">
        <f t="shared" ref="AB318:AB320" si="153">AA318+Z318+Y318+X318+V318+W318</f>
        <v>2580.98</v>
      </c>
      <c r="AC318" s="77">
        <v>25250.45</v>
      </c>
      <c r="AD318" s="79">
        <v>0.0175</v>
      </c>
      <c r="AE318" s="80">
        <f>((AC318*AD318)/365)*180</f>
        <v>217.9148425</v>
      </c>
      <c r="AF318" s="81"/>
      <c r="AG318" s="79"/>
      <c r="AH318" s="80"/>
      <c r="AI318" s="82"/>
      <c r="AJ318" s="82">
        <f t="shared" ref="AJ318:AJ320" si="154">AE318+AH318</f>
        <v>217.9148425</v>
      </c>
      <c r="AK318" s="83">
        <f>IF(AJ318&lt;AA318,AJ318,AA318)</f>
        <v>217.9148425</v>
      </c>
      <c r="AL318" s="84">
        <f t="shared" ref="AL318:AL320" si="155">W318+X318+Y318+Z318+AK318</f>
        <v>796.0148425</v>
      </c>
      <c r="AP318" s="85">
        <f t="shared" si="9"/>
        <v>1</v>
      </c>
      <c r="AQ318" s="20">
        <f t="shared" si="10"/>
        <v>1</v>
      </c>
      <c r="AR318" s="20">
        <f t="shared" si="11"/>
        <v>1</v>
      </c>
      <c r="AS318" s="86">
        <f t="shared" si="12"/>
        <v>14149.69</v>
      </c>
      <c r="AT318" s="87">
        <f t="shared" si="13"/>
        <v>25250.45</v>
      </c>
      <c r="AU318" s="88">
        <f t="shared" si="81"/>
        <v>2.966666667</v>
      </c>
      <c r="AV318" s="89" t="str">
        <f t="shared" si="15"/>
        <v>#VALUE!</v>
      </c>
      <c r="AW318" s="90" t="str">
        <f t="shared" si="16"/>
        <v>#VALUE!</v>
      </c>
      <c r="AY318" s="85">
        <f t="shared" si="17"/>
        <v>0</v>
      </c>
      <c r="AZ318" s="20">
        <f t="shared" si="18"/>
        <v>1</v>
      </c>
      <c r="BA318" s="20">
        <f t="shared" si="19"/>
        <v>0</v>
      </c>
      <c r="BB318" s="91">
        <f t="shared" si="20"/>
        <v>0</v>
      </c>
      <c r="BC318" s="87">
        <f t="shared" si="21"/>
        <v>0</v>
      </c>
      <c r="BD318" s="92">
        <f t="shared" si="22"/>
        <v>0</v>
      </c>
      <c r="BE318" s="89" t="str">
        <f t="shared" si="23"/>
        <v>#VALUE!</v>
      </c>
      <c r="BF318" s="90">
        <f t="shared" si="24"/>
        <v>0</v>
      </c>
      <c r="BH318" s="93">
        <f t="shared" si="25"/>
        <v>25250.45</v>
      </c>
      <c r="BI318" s="94">
        <f t="shared" si="26"/>
        <v>1</v>
      </c>
      <c r="BJ318" s="95" t="str">
        <f t="shared" si="27"/>
        <v>#VALUE!</v>
      </c>
      <c r="BK318" s="96" t="str">
        <f t="shared" si="28"/>
        <v>#VALUE!</v>
      </c>
      <c r="BM318" s="97">
        <f t="shared" si="29"/>
        <v>1</v>
      </c>
    </row>
    <row r="319" ht="12.75" customHeight="1">
      <c r="A319" s="65"/>
      <c r="B319" s="66" t="s">
        <v>642</v>
      </c>
      <c r="C319" s="67">
        <v>26000.0</v>
      </c>
      <c r="D319" s="68">
        <v>13.0</v>
      </c>
      <c r="E319" s="67">
        <v>16575.49</v>
      </c>
      <c r="F319" s="68" t="s">
        <v>56</v>
      </c>
      <c r="G319" s="100">
        <v>44539.0</v>
      </c>
      <c r="H319" s="70" t="s">
        <v>57</v>
      </c>
      <c r="I319" s="100">
        <v>46037.0</v>
      </c>
      <c r="J319" s="71">
        <f t="shared" si="99"/>
        <v>49.93333333</v>
      </c>
      <c r="K319" s="98" t="s">
        <v>643</v>
      </c>
      <c r="L319" s="98">
        <v>41000.0</v>
      </c>
      <c r="M319" s="73"/>
      <c r="N319" s="73"/>
      <c r="O319" s="73"/>
      <c r="P319" s="73">
        <f t="shared" si="70"/>
        <v>0</v>
      </c>
      <c r="Q319" s="73">
        <f t="shared" si="71"/>
        <v>0</v>
      </c>
      <c r="R319" s="74">
        <f t="shared" si="72"/>
        <v>0</v>
      </c>
      <c r="S319" s="74">
        <f t="shared" si="73"/>
        <v>1</v>
      </c>
      <c r="T319" s="75"/>
      <c r="V319" s="76"/>
      <c r="W319" s="77"/>
      <c r="X319" s="77"/>
      <c r="Y319" s="77"/>
      <c r="Z319" s="77"/>
      <c r="AA319" s="77"/>
      <c r="AB319" s="78">
        <f t="shared" si="153"/>
        <v>0</v>
      </c>
      <c r="AC319" s="77"/>
      <c r="AD319" s="79"/>
      <c r="AE319" s="80"/>
      <c r="AF319" s="81"/>
      <c r="AG319" s="79"/>
      <c r="AH319" s="80"/>
      <c r="AI319" s="82"/>
      <c r="AJ319" s="82">
        <f t="shared" si="154"/>
        <v>0</v>
      </c>
      <c r="AK319" s="83"/>
      <c r="AL319" s="84">
        <f t="shared" si="155"/>
        <v>0</v>
      </c>
      <c r="AP319" s="85">
        <f t="shared" si="9"/>
        <v>1</v>
      </c>
      <c r="AQ319" s="20">
        <f t="shared" si="10"/>
        <v>1</v>
      </c>
      <c r="AR319" s="20">
        <f t="shared" si="11"/>
        <v>1</v>
      </c>
      <c r="AS319" s="86">
        <f t="shared" si="12"/>
        <v>0</v>
      </c>
      <c r="AT319" s="87">
        <f t="shared" si="13"/>
        <v>16575.49</v>
      </c>
      <c r="AU319" s="88">
        <f t="shared" si="81"/>
        <v>49.93333333</v>
      </c>
      <c r="AV319" s="89" t="str">
        <f t="shared" si="15"/>
        <v>#VALUE!</v>
      </c>
      <c r="AW319" s="90" t="str">
        <f t="shared" si="16"/>
        <v>#VALUE!</v>
      </c>
      <c r="AY319" s="85">
        <f t="shared" si="17"/>
        <v>0</v>
      </c>
      <c r="AZ319" s="20">
        <f t="shared" si="18"/>
        <v>1</v>
      </c>
      <c r="BA319" s="20">
        <f t="shared" si="19"/>
        <v>0</v>
      </c>
      <c r="BB319" s="91">
        <f t="shared" si="20"/>
        <v>0</v>
      </c>
      <c r="BC319" s="87">
        <f t="shared" si="21"/>
        <v>0</v>
      </c>
      <c r="BD319" s="92">
        <f t="shared" si="22"/>
        <v>0</v>
      </c>
      <c r="BE319" s="89" t="str">
        <f t="shared" si="23"/>
        <v>#VALUE!</v>
      </c>
      <c r="BF319" s="90">
        <f t="shared" si="24"/>
        <v>0</v>
      </c>
      <c r="BH319" s="93">
        <f t="shared" si="25"/>
        <v>16575.49</v>
      </c>
      <c r="BI319" s="94">
        <f t="shared" si="26"/>
        <v>1</v>
      </c>
      <c r="BJ319" s="95" t="str">
        <f t="shared" si="27"/>
        <v>#VALUE!</v>
      </c>
      <c r="BK319" s="96" t="str">
        <f t="shared" si="28"/>
        <v>#VALUE!</v>
      </c>
      <c r="BM319" s="97">
        <f t="shared" si="29"/>
        <v>1</v>
      </c>
    </row>
    <row r="320" ht="12.75" customHeight="1">
      <c r="A320" s="65"/>
      <c r="B320" s="66" t="s">
        <v>644</v>
      </c>
      <c r="C320" s="67">
        <v>67500.0</v>
      </c>
      <c r="D320" s="68">
        <v>13.0</v>
      </c>
      <c r="E320" s="67">
        <v>62843.87</v>
      </c>
      <c r="F320" s="68" t="s">
        <v>64</v>
      </c>
      <c r="G320" s="69">
        <v>45322.0</v>
      </c>
      <c r="H320" s="71" t="s">
        <v>543</v>
      </c>
      <c r="I320" s="69" t="s">
        <v>181</v>
      </c>
      <c r="J320" s="71" t="str">
        <f t="shared" si="99"/>
        <v>N/A</v>
      </c>
      <c r="K320" s="72" t="s">
        <v>181</v>
      </c>
      <c r="L320" s="72" t="s">
        <v>181</v>
      </c>
      <c r="M320" s="73"/>
      <c r="N320" s="73"/>
      <c r="O320" s="73"/>
      <c r="P320" s="73">
        <f t="shared" si="70"/>
        <v>0</v>
      </c>
      <c r="Q320" s="73">
        <f t="shared" si="71"/>
        <v>0</v>
      </c>
      <c r="R320" s="74" t="str">
        <f t="shared" si="72"/>
        <v>N/A</v>
      </c>
      <c r="S320" s="74" t="str">
        <f t="shared" si="73"/>
        <v>N/A</v>
      </c>
      <c r="T320" s="75"/>
      <c r="V320" s="76"/>
      <c r="W320" s="77"/>
      <c r="X320" s="77"/>
      <c r="Y320" s="77"/>
      <c r="Z320" s="77"/>
      <c r="AA320" s="77"/>
      <c r="AB320" s="78">
        <f t="shared" si="153"/>
        <v>0</v>
      </c>
      <c r="AC320" s="77"/>
      <c r="AD320" s="79"/>
      <c r="AE320" s="80"/>
      <c r="AF320" s="81"/>
      <c r="AG320" s="79"/>
      <c r="AH320" s="80"/>
      <c r="AI320" s="82"/>
      <c r="AJ320" s="82">
        <f t="shared" si="154"/>
        <v>0</v>
      </c>
      <c r="AK320" s="83"/>
      <c r="AL320" s="84">
        <f t="shared" si="155"/>
        <v>0</v>
      </c>
      <c r="AP320" s="85">
        <f t="shared" si="9"/>
        <v>0</v>
      </c>
      <c r="AQ320" s="20">
        <f t="shared" si="10"/>
        <v>0</v>
      </c>
      <c r="AR320" s="20">
        <f t="shared" si="11"/>
        <v>0</v>
      </c>
      <c r="AS320" s="86">
        <f t="shared" si="12"/>
        <v>0</v>
      </c>
      <c r="AT320" s="87">
        <f t="shared" si="13"/>
        <v>0</v>
      </c>
      <c r="AU320" s="88">
        <f t="shared" si="81"/>
        <v>0</v>
      </c>
      <c r="AV320" s="89" t="str">
        <f t="shared" si="15"/>
        <v>#VALUE!</v>
      </c>
      <c r="AW320" s="90">
        <f t="shared" si="16"/>
        <v>0</v>
      </c>
      <c r="AY320" s="85">
        <f t="shared" si="17"/>
        <v>1</v>
      </c>
      <c r="AZ320" s="20">
        <f t="shared" si="18"/>
        <v>0</v>
      </c>
      <c r="BA320" s="20">
        <f t="shared" si="19"/>
        <v>0</v>
      </c>
      <c r="BB320" s="91">
        <f t="shared" si="20"/>
        <v>0</v>
      </c>
      <c r="BC320" s="87">
        <f t="shared" si="21"/>
        <v>0</v>
      </c>
      <c r="BD320" s="92">
        <f t="shared" si="22"/>
        <v>0</v>
      </c>
      <c r="BE320" s="89" t="str">
        <f t="shared" si="23"/>
        <v>#VALUE!</v>
      </c>
      <c r="BF320" s="90">
        <f t="shared" si="24"/>
        <v>0</v>
      </c>
      <c r="BH320" s="93">
        <f t="shared" si="25"/>
        <v>0</v>
      </c>
      <c r="BI320" s="94">
        <f t="shared" si="26"/>
        <v>0</v>
      </c>
      <c r="BJ320" s="95" t="str">
        <f t="shared" si="27"/>
        <v>#VALUE!</v>
      </c>
      <c r="BK320" s="96">
        <f t="shared" si="28"/>
        <v>0</v>
      </c>
      <c r="BM320" s="97">
        <f t="shared" si="29"/>
        <v>1</v>
      </c>
    </row>
    <row r="321" ht="12.75" customHeight="1">
      <c r="A321" s="65"/>
      <c r="B321" s="66" t="s">
        <v>645</v>
      </c>
      <c r="C321" s="67">
        <v>46000.0</v>
      </c>
      <c r="D321" s="68">
        <v>13.0</v>
      </c>
      <c r="E321" s="67">
        <v>26977.95</v>
      </c>
      <c r="F321" s="68" t="s">
        <v>64</v>
      </c>
      <c r="G321" s="69">
        <v>45351.0</v>
      </c>
      <c r="H321" s="70" t="s">
        <v>57</v>
      </c>
      <c r="I321" s="100">
        <v>45533.0</v>
      </c>
      <c r="J321" s="71">
        <f t="shared" si="99"/>
        <v>6.066666667</v>
      </c>
      <c r="K321" s="98" t="s">
        <v>646</v>
      </c>
      <c r="L321" s="98">
        <v>50000.0</v>
      </c>
      <c r="M321" s="73">
        <v>321.94</v>
      </c>
      <c r="N321" s="113">
        <v>7936.74</v>
      </c>
      <c r="O321" s="101">
        <v>3568.81</v>
      </c>
      <c r="P321" s="73">
        <f t="shared" si="70"/>
        <v>0</v>
      </c>
      <c r="Q321" s="73">
        <f t="shared" si="71"/>
        <v>0</v>
      </c>
      <c r="R321" s="74">
        <f t="shared" si="72"/>
        <v>0</v>
      </c>
      <c r="S321" s="74">
        <f t="shared" si="73"/>
        <v>1</v>
      </c>
      <c r="T321" s="75"/>
      <c r="V321" s="76"/>
      <c r="W321" s="77"/>
      <c r="X321" s="77"/>
      <c r="Y321" s="77"/>
      <c r="Z321" s="77"/>
      <c r="AA321" s="77"/>
      <c r="AB321" s="78"/>
      <c r="AC321" s="77"/>
      <c r="AD321" s="79"/>
      <c r="AE321" s="80"/>
      <c r="AF321" s="81"/>
      <c r="AG321" s="79"/>
      <c r="AH321" s="80"/>
      <c r="AI321" s="82"/>
      <c r="AJ321" s="82"/>
      <c r="AK321" s="83"/>
      <c r="AL321" s="84"/>
      <c r="AP321" s="85">
        <f t="shared" si="9"/>
        <v>0</v>
      </c>
      <c r="AQ321" s="20">
        <f t="shared" si="10"/>
        <v>1</v>
      </c>
      <c r="AR321" s="20">
        <f t="shared" si="11"/>
        <v>0</v>
      </c>
      <c r="AS321" s="86">
        <f t="shared" si="12"/>
        <v>0</v>
      </c>
      <c r="AT321" s="87">
        <f t="shared" si="13"/>
        <v>0</v>
      </c>
      <c r="AU321" s="88">
        <f t="shared" si="81"/>
        <v>0</v>
      </c>
      <c r="AV321" s="89" t="str">
        <f t="shared" si="15"/>
        <v>#VALUE!</v>
      </c>
      <c r="AW321" s="90">
        <f t="shared" si="16"/>
        <v>0</v>
      </c>
      <c r="AY321" s="85">
        <f t="shared" si="17"/>
        <v>1</v>
      </c>
      <c r="AZ321" s="20">
        <f t="shared" si="18"/>
        <v>1</v>
      </c>
      <c r="BA321" s="20">
        <f t="shared" si="19"/>
        <v>1</v>
      </c>
      <c r="BB321" s="91">
        <f t="shared" si="20"/>
        <v>11505.55</v>
      </c>
      <c r="BC321" s="87">
        <f t="shared" si="21"/>
        <v>26977.95</v>
      </c>
      <c r="BD321" s="92">
        <f t="shared" si="22"/>
        <v>6.066666667</v>
      </c>
      <c r="BE321" s="89" t="str">
        <f t="shared" si="23"/>
        <v>#VALUE!</v>
      </c>
      <c r="BF321" s="90" t="str">
        <f t="shared" si="24"/>
        <v>#VALUE!</v>
      </c>
      <c r="BH321" s="93">
        <f t="shared" si="25"/>
        <v>26977.95</v>
      </c>
      <c r="BI321" s="94">
        <f t="shared" si="26"/>
        <v>1</v>
      </c>
      <c r="BJ321" s="95" t="str">
        <f t="shared" si="27"/>
        <v>#VALUE!</v>
      </c>
      <c r="BK321" s="96" t="str">
        <f t="shared" si="28"/>
        <v>#VALUE!</v>
      </c>
      <c r="BM321" s="97">
        <f t="shared" si="29"/>
        <v>1</v>
      </c>
    </row>
    <row r="322" ht="12.75" customHeight="1">
      <c r="A322" s="65"/>
      <c r="B322" s="66" t="s">
        <v>647</v>
      </c>
      <c r="C322" s="67">
        <v>79650.0</v>
      </c>
      <c r="D322" s="68">
        <v>13.0</v>
      </c>
      <c r="E322" s="67">
        <v>72725.48</v>
      </c>
      <c r="F322" s="68" t="s">
        <v>64</v>
      </c>
      <c r="G322" s="69">
        <v>45351.0</v>
      </c>
      <c r="H322" s="70" t="s">
        <v>57</v>
      </c>
      <c r="I322" s="100">
        <v>45715.0</v>
      </c>
      <c r="J322" s="71">
        <f t="shared" si="99"/>
        <v>12.13333333</v>
      </c>
      <c r="K322" s="98" t="s">
        <v>648</v>
      </c>
      <c r="L322" s="98">
        <v>85000.0</v>
      </c>
      <c r="M322" s="101">
        <v>1224.84</v>
      </c>
      <c r="N322" s="101">
        <v>10131.12</v>
      </c>
      <c r="O322" s="101">
        <v>0.0</v>
      </c>
      <c r="P322" s="73">
        <f t="shared" si="70"/>
        <v>0</v>
      </c>
      <c r="Q322" s="73">
        <f t="shared" si="71"/>
        <v>0</v>
      </c>
      <c r="R322" s="74">
        <f t="shared" si="72"/>
        <v>0</v>
      </c>
      <c r="S322" s="74">
        <f t="shared" si="73"/>
        <v>1</v>
      </c>
      <c r="T322" s="75"/>
      <c r="V322" s="76"/>
      <c r="W322" s="77"/>
      <c r="X322" s="77"/>
      <c r="Y322" s="77"/>
      <c r="Z322" s="77"/>
      <c r="AA322" s="77"/>
      <c r="AB322" s="78">
        <f>AA322+Z322+Y322+X322+V322+W322</f>
        <v>0</v>
      </c>
      <c r="AC322" s="77"/>
      <c r="AD322" s="79"/>
      <c r="AE322" s="80"/>
      <c r="AF322" s="81"/>
      <c r="AG322" s="79"/>
      <c r="AH322" s="80"/>
      <c r="AI322" s="82"/>
      <c r="AJ322" s="82">
        <f>AE322+AH322</f>
        <v>0</v>
      </c>
      <c r="AK322" s="83"/>
      <c r="AL322" s="84">
        <f>W322+X322+Y322+Z322+AK322</f>
        <v>0</v>
      </c>
      <c r="AP322" s="85">
        <f t="shared" si="9"/>
        <v>0</v>
      </c>
      <c r="AQ322" s="20">
        <f t="shared" si="10"/>
        <v>1</v>
      </c>
      <c r="AR322" s="20">
        <f t="shared" si="11"/>
        <v>0</v>
      </c>
      <c r="AS322" s="86">
        <f t="shared" si="12"/>
        <v>0</v>
      </c>
      <c r="AT322" s="87">
        <f t="shared" si="13"/>
        <v>0</v>
      </c>
      <c r="AU322" s="88">
        <f t="shared" si="81"/>
        <v>0</v>
      </c>
      <c r="AV322" s="89" t="str">
        <f t="shared" si="15"/>
        <v>#VALUE!</v>
      </c>
      <c r="AW322" s="90">
        <f t="shared" si="16"/>
        <v>0</v>
      </c>
      <c r="AY322" s="85">
        <f t="shared" si="17"/>
        <v>1</v>
      </c>
      <c r="AZ322" s="20">
        <f t="shared" si="18"/>
        <v>1</v>
      </c>
      <c r="BA322" s="20">
        <f t="shared" si="19"/>
        <v>1</v>
      </c>
      <c r="BB322" s="91">
        <f t="shared" si="20"/>
        <v>10131.12</v>
      </c>
      <c r="BC322" s="87">
        <f t="shared" si="21"/>
        <v>72725.48</v>
      </c>
      <c r="BD322" s="92">
        <f t="shared" si="22"/>
        <v>12.13333333</v>
      </c>
      <c r="BE322" s="89" t="str">
        <f t="shared" si="23"/>
        <v>#VALUE!</v>
      </c>
      <c r="BF322" s="90" t="str">
        <f t="shared" si="24"/>
        <v>#VALUE!</v>
      </c>
      <c r="BH322" s="93">
        <f t="shared" si="25"/>
        <v>72725.48</v>
      </c>
      <c r="BI322" s="94">
        <f t="shared" si="26"/>
        <v>1</v>
      </c>
      <c r="BJ322" s="95" t="str">
        <f t="shared" si="27"/>
        <v>#VALUE!</v>
      </c>
      <c r="BK322" s="96" t="str">
        <f t="shared" si="28"/>
        <v>#VALUE!</v>
      </c>
      <c r="BM322" s="97">
        <f t="shared" si="29"/>
        <v>1</v>
      </c>
    </row>
    <row r="323" ht="12.75" customHeight="1">
      <c r="A323" s="65"/>
      <c r="B323" s="115" t="s">
        <v>649</v>
      </c>
      <c r="C323" s="106">
        <v>64900.0</v>
      </c>
      <c r="D323" s="68">
        <v>13.0</v>
      </c>
      <c r="E323" s="106">
        <v>58421.74</v>
      </c>
      <c r="F323" s="68" t="s">
        <v>56</v>
      </c>
      <c r="G323" s="100">
        <v>45468.0</v>
      </c>
      <c r="H323" s="71" t="s">
        <v>57</v>
      </c>
      <c r="I323" s="100">
        <v>45526.0</v>
      </c>
      <c r="J323" s="71">
        <f t="shared" si="99"/>
        <v>1.933333333</v>
      </c>
      <c r="K323" s="98" t="s">
        <v>650</v>
      </c>
      <c r="L323" s="98">
        <v>72000.0</v>
      </c>
      <c r="M323" s="73">
        <v>1897.0900000000001</v>
      </c>
      <c r="N323" s="113">
        <v>13294.22</v>
      </c>
      <c r="O323" s="101">
        <v>1849.44</v>
      </c>
      <c r="P323" s="73">
        <f t="shared" si="70"/>
        <v>0</v>
      </c>
      <c r="Q323" s="73">
        <f t="shared" si="71"/>
        <v>3462.49</v>
      </c>
      <c r="R323" s="74">
        <f t="shared" si="72"/>
        <v>0.05926714952</v>
      </c>
      <c r="S323" s="74">
        <f t="shared" si="73"/>
        <v>0.9407328505</v>
      </c>
      <c r="T323" s="75"/>
      <c r="V323" s="76"/>
      <c r="W323" s="77"/>
      <c r="X323" s="77"/>
      <c r="Y323" s="77"/>
      <c r="Z323" s="77"/>
      <c r="AA323" s="77"/>
      <c r="AB323" s="78"/>
      <c r="AC323" s="77"/>
      <c r="AD323" s="79"/>
      <c r="AE323" s="80"/>
      <c r="AF323" s="81"/>
      <c r="AG323" s="79"/>
      <c r="AH323" s="80"/>
      <c r="AI323" s="82"/>
      <c r="AJ323" s="82"/>
      <c r="AK323" s="83"/>
      <c r="AL323" s="84"/>
      <c r="AP323" s="85">
        <f t="shared" si="9"/>
        <v>1</v>
      </c>
      <c r="AQ323" s="20">
        <f t="shared" si="10"/>
        <v>1</v>
      </c>
      <c r="AR323" s="20">
        <f t="shared" si="11"/>
        <v>1</v>
      </c>
      <c r="AS323" s="86">
        <f t="shared" si="12"/>
        <v>15143.66</v>
      </c>
      <c r="AT323" s="87">
        <f t="shared" si="13"/>
        <v>58421.74</v>
      </c>
      <c r="AU323" s="88">
        <f t="shared" si="81"/>
        <v>1.933333333</v>
      </c>
      <c r="AV323" s="89" t="str">
        <f t="shared" si="15"/>
        <v>#VALUE!</v>
      </c>
      <c r="AW323" s="90" t="str">
        <f t="shared" si="16"/>
        <v>#VALUE!</v>
      </c>
      <c r="AY323" s="85">
        <f t="shared" si="17"/>
        <v>0</v>
      </c>
      <c r="AZ323" s="20">
        <f t="shared" si="18"/>
        <v>1</v>
      </c>
      <c r="BA323" s="20">
        <f t="shared" si="19"/>
        <v>0</v>
      </c>
      <c r="BB323" s="91">
        <f t="shared" si="20"/>
        <v>0</v>
      </c>
      <c r="BC323" s="87">
        <f t="shared" si="21"/>
        <v>0</v>
      </c>
      <c r="BD323" s="92">
        <f t="shared" si="22"/>
        <v>0</v>
      </c>
      <c r="BE323" s="89" t="str">
        <f t="shared" si="23"/>
        <v>#VALUE!</v>
      </c>
      <c r="BF323" s="90">
        <f t="shared" si="24"/>
        <v>0</v>
      </c>
      <c r="BH323" s="93">
        <f t="shared" si="25"/>
        <v>58421.74</v>
      </c>
      <c r="BI323" s="94">
        <f t="shared" si="26"/>
        <v>1</v>
      </c>
      <c r="BJ323" s="95" t="str">
        <f t="shared" si="27"/>
        <v>#VALUE!</v>
      </c>
      <c r="BK323" s="96" t="str">
        <f t="shared" si="28"/>
        <v>#VALUE!</v>
      </c>
      <c r="BM323" s="97">
        <f t="shared" si="29"/>
        <v>1</v>
      </c>
    </row>
    <row r="324" ht="12.75" customHeight="1">
      <c r="A324" s="65"/>
      <c r="B324" s="66" t="s">
        <v>651</v>
      </c>
      <c r="C324" s="67">
        <v>38250.0</v>
      </c>
      <c r="D324" s="68">
        <v>13.0</v>
      </c>
      <c r="E324" s="67">
        <v>28988.5</v>
      </c>
      <c r="F324" s="68" t="s">
        <v>56</v>
      </c>
      <c r="G324" s="69">
        <v>45351.0</v>
      </c>
      <c r="H324" s="70" t="s">
        <v>57</v>
      </c>
      <c r="I324" s="100">
        <v>45663.0</v>
      </c>
      <c r="J324" s="71">
        <f t="shared" si="99"/>
        <v>10.4</v>
      </c>
      <c r="K324" s="98" t="s">
        <v>652</v>
      </c>
      <c r="L324" s="98">
        <v>42500.0</v>
      </c>
      <c r="M324" s="73">
        <f>436.09+308.82+180.9+264.15+366.3+38.17+416.25</f>
        <v>2010.68</v>
      </c>
      <c r="N324" s="73">
        <f>62+3576.6+408.4+119.03+164+450+67+25.87+30+284+16+112+87.12+2160.93+267.03+80</f>
        <v>7909.98</v>
      </c>
      <c r="O324" s="101">
        <v>3380.18</v>
      </c>
      <c r="P324" s="73">
        <f t="shared" si="70"/>
        <v>0</v>
      </c>
      <c r="Q324" s="73">
        <f t="shared" si="71"/>
        <v>0</v>
      </c>
      <c r="R324" s="74">
        <f t="shared" si="72"/>
        <v>0</v>
      </c>
      <c r="S324" s="74">
        <f t="shared" si="73"/>
        <v>1</v>
      </c>
      <c r="T324" s="75"/>
      <c r="V324" s="76"/>
      <c r="W324" s="77"/>
      <c r="X324" s="77"/>
      <c r="Y324" s="77"/>
      <c r="Z324" s="77"/>
      <c r="AA324" s="77"/>
      <c r="AB324" s="78">
        <f t="shared" ref="AB324:AB326" si="156">AA324+Z324+Y324+X324+V324+W324</f>
        <v>0</v>
      </c>
      <c r="AC324" s="77"/>
      <c r="AD324" s="79"/>
      <c r="AE324" s="80"/>
      <c r="AF324" s="81"/>
      <c r="AG324" s="79"/>
      <c r="AH324" s="80"/>
      <c r="AI324" s="82"/>
      <c r="AJ324" s="82">
        <f t="shared" ref="AJ324:AJ326" si="157">AE324+AH324</f>
        <v>0</v>
      </c>
      <c r="AK324" s="83"/>
      <c r="AL324" s="84">
        <f t="shared" ref="AL324:AL326" si="158">W324+X324+Y324+Z324+AK324</f>
        <v>0</v>
      </c>
      <c r="AP324" s="85">
        <f t="shared" si="9"/>
        <v>1</v>
      </c>
      <c r="AQ324" s="20">
        <f t="shared" si="10"/>
        <v>1</v>
      </c>
      <c r="AR324" s="20">
        <f t="shared" si="11"/>
        <v>1</v>
      </c>
      <c r="AS324" s="86">
        <f t="shared" si="12"/>
        <v>11290.16</v>
      </c>
      <c r="AT324" s="87">
        <f t="shared" si="13"/>
        <v>28988.5</v>
      </c>
      <c r="AU324" s="88">
        <f t="shared" si="81"/>
        <v>10.4</v>
      </c>
      <c r="AV324" s="89" t="str">
        <f t="shared" si="15"/>
        <v>#VALUE!</v>
      </c>
      <c r="AW324" s="90" t="str">
        <f t="shared" si="16"/>
        <v>#VALUE!</v>
      </c>
      <c r="AY324" s="85">
        <f t="shared" si="17"/>
        <v>0</v>
      </c>
      <c r="AZ324" s="20">
        <f t="shared" si="18"/>
        <v>1</v>
      </c>
      <c r="BA324" s="20">
        <f t="shared" si="19"/>
        <v>0</v>
      </c>
      <c r="BB324" s="91">
        <f t="shared" si="20"/>
        <v>0</v>
      </c>
      <c r="BC324" s="87">
        <f t="shared" si="21"/>
        <v>0</v>
      </c>
      <c r="BD324" s="92">
        <f t="shared" si="22"/>
        <v>0</v>
      </c>
      <c r="BE324" s="89" t="str">
        <f t="shared" si="23"/>
        <v>#VALUE!</v>
      </c>
      <c r="BF324" s="90">
        <f t="shared" si="24"/>
        <v>0</v>
      </c>
      <c r="BH324" s="93">
        <f t="shared" si="25"/>
        <v>28988.5</v>
      </c>
      <c r="BI324" s="94">
        <f t="shared" si="26"/>
        <v>1</v>
      </c>
      <c r="BJ324" s="95" t="str">
        <f t="shared" si="27"/>
        <v>#VALUE!</v>
      </c>
      <c r="BK324" s="96" t="str">
        <f t="shared" si="28"/>
        <v>#VALUE!</v>
      </c>
      <c r="BM324" s="97">
        <f t="shared" si="29"/>
        <v>1</v>
      </c>
    </row>
    <row r="325" ht="12.75" customHeight="1">
      <c r="A325" s="65"/>
      <c r="B325" s="66" t="s">
        <v>653</v>
      </c>
      <c r="C325" s="67">
        <v>50000.0</v>
      </c>
      <c r="D325" s="68">
        <v>13.0</v>
      </c>
      <c r="E325" s="67">
        <v>38841.56</v>
      </c>
      <c r="F325" s="68" t="s">
        <v>56</v>
      </c>
      <c r="G325" s="69">
        <v>45351.0</v>
      </c>
      <c r="H325" s="70" t="s">
        <v>57</v>
      </c>
      <c r="I325" s="100">
        <v>45687.0</v>
      </c>
      <c r="J325" s="71">
        <f t="shared" si="99"/>
        <v>11.2</v>
      </c>
      <c r="K325" s="98" t="s">
        <v>654</v>
      </c>
      <c r="L325" s="98">
        <v>50000.0</v>
      </c>
      <c r="M325" s="73">
        <f>320.25+376.98+409.92+53.5+564.25</f>
        <v>1724.9</v>
      </c>
      <c r="N325" s="73">
        <f>2978.12+125+878.73+2445.08+93.15+531.24+450+125+200+30+326+16+112+194.31+2550+101.43+85</f>
        <v>11241.06</v>
      </c>
      <c r="O325" s="101">
        <v>220.0</v>
      </c>
      <c r="P325" s="73">
        <f t="shared" si="70"/>
        <v>0</v>
      </c>
      <c r="Q325" s="73">
        <f t="shared" si="71"/>
        <v>2027.52</v>
      </c>
      <c r="R325" s="74">
        <f t="shared" si="72"/>
        <v>0.05219975717</v>
      </c>
      <c r="S325" s="74">
        <f t="shared" si="73"/>
        <v>0.9478002428</v>
      </c>
      <c r="T325" s="75"/>
      <c r="V325" s="102">
        <v>564.25</v>
      </c>
      <c r="W325" s="77"/>
      <c r="X325" s="103">
        <v>53.5</v>
      </c>
      <c r="Y325" s="77"/>
      <c r="Z325" s="77">
        <f>320.25+376.98+409.92</f>
        <v>1107.15</v>
      </c>
      <c r="AA325" s="103">
        <v>3425.77</v>
      </c>
      <c r="AB325" s="78">
        <f t="shared" si="156"/>
        <v>5150.67</v>
      </c>
      <c r="AC325" s="103">
        <v>38841.56</v>
      </c>
      <c r="AD325" s="104">
        <v>0.0175</v>
      </c>
      <c r="AE325" s="80">
        <f t="shared" ref="AE325:AE326" si="159">((AC325*AD325)/365)*180</f>
        <v>335.2079836</v>
      </c>
      <c r="AF325" s="81"/>
      <c r="AG325" s="79"/>
      <c r="AH325" s="80"/>
      <c r="AI325" s="82"/>
      <c r="AJ325" s="82">
        <f t="shared" si="157"/>
        <v>335.2079836</v>
      </c>
      <c r="AK325" s="83"/>
      <c r="AL325" s="84">
        <f t="shared" si="158"/>
        <v>1160.65</v>
      </c>
      <c r="AP325" s="85">
        <f t="shared" si="9"/>
        <v>1</v>
      </c>
      <c r="AQ325" s="20">
        <f t="shared" si="10"/>
        <v>1</v>
      </c>
      <c r="AR325" s="20">
        <f t="shared" si="11"/>
        <v>1</v>
      </c>
      <c r="AS325" s="86">
        <f t="shared" si="12"/>
        <v>11461.06</v>
      </c>
      <c r="AT325" s="87">
        <f t="shared" si="13"/>
        <v>38841.56</v>
      </c>
      <c r="AU325" s="88">
        <f t="shared" si="81"/>
        <v>11.2</v>
      </c>
      <c r="AV325" s="89" t="str">
        <f t="shared" si="15"/>
        <v>#VALUE!</v>
      </c>
      <c r="AW325" s="90" t="str">
        <f t="shared" si="16"/>
        <v>#VALUE!</v>
      </c>
      <c r="AY325" s="85">
        <f t="shared" si="17"/>
        <v>0</v>
      </c>
      <c r="AZ325" s="20">
        <f t="shared" si="18"/>
        <v>1</v>
      </c>
      <c r="BA325" s="20">
        <f t="shared" si="19"/>
        <v>0</v>
      </c>
      <c r="BB325" s="91">
        <f t="shared" si="20"/>
        <v>0</v>
      </c>
      <c r="BC325" s="87">
        <f t="shared" si="21"/>
        <v>0</v>
      </c>
      <c r="BD325" s="92">
        <f t="shared" si="22"/>
        <v>0</v>
      </c>
      <c r="BE325" s="89" t="str">
        <f t="shared" si="23"/>
        <v>#VALUE!</v>
      </c>
      <c r="BF325" s="90">
        <f t="shared" si="24"/>
        <v>0</v>
      </c>
      <c r="BH325" s="93">
        <f t="shared" si="25"/>
        <v>38841.56</v>
      </c>
      <c r="BI325" s="94">
        <f t="shared" si="26"/>
        <v>1</v>
      </c>
      <c r="BJ325" s="95" t="str">
        <f t="shared" si="27"/>
        <v>#VALUE!</v>
      </c>
      <c r="BK325" s="96" t="str">
        <f t="shared" si="28"/>
        <v>#VALUE!</v>
      </c>
      <c r="BM325" s="97">
        <f t="shared" si="29"/>
        <v>1</v>
      </c>
    </row>
    <row r="326" ht="12.75" customHeight="1">
      <c r="A326" s="65"/>
      <c r="B326" s="66" t="s">
        <v>655</v>
      </c>
      <c r="C326" s="67">
        <v>47500.0</v>
      </c>
      <c r="D326" s="68">
        <v>13.0</v>
      </c>
      <c r="E326" s="67">
        <f>23298.38+23563.01</f>
        <v>46861.39</v>
      </c>
      <c r="F326" s="68" t="s">
        <v>56</v>
      </c>
      <c r="G326" s="69">
        <v>45370.0</v>
      </c>
      <c r="H326" s="70" t="s">
        <v>57</v>
      </c>
      <c r="I326" s="69">
        <v>45378.0</v>
      </c>
      <c r="J326" s="71">
        <f t="shared" si="99"/>
        <v>0.2666666667</v>
      </c>
      <c r="K326" s="72" t="s">
        <v>656</v>
      </c>
      <c r="L326" s="72">
        <v>59500.0</v>
      </c>
      <c r="M326" s="73">
        <v>1741.8622273972605</v>
      </c>
      <c r="N326" s="113">
        <v>8178.860000000001</v>
      </c>
      <c r="O326" s="73">
        <v>180.0</v>
      </c>
      <c r="P326" s="73">
        <f t="shared" si="70"/>
        <v>0</v>
      </c>
      <c r="Q326" s="73">
        <f t="shared" si="71"/>
        <v>0</v>
      </c>
      <c r="R326" s="74">
        <f t="shared" si="72"/>
        <v>0</v>
      </c>
      <c r="S326" s="74">
        <f t="shared" si="73"/>
        <v>1</v>
      </c>
      <c r="T326" s="75"/>
      <c r="V326" s="76">
        <v>111.0</v>
      </c>
      <c r="W326" s="77"/>
      <c r="X326" s="77">
        <v>7.77</v>
      </c>
      <c r="Y326" s="77"/>
      <c r="Z326" s="77">
        <f>53.28+113.52+65.16</f>
        <v>231.96</v>
      </c>
      <c r="AA326" s="77">
        <v>2162.18</v>
      </c>
      <c r="AB326" s="78">
        <f t="shared" si="156"/>
        <v>2512.91</v>
      </c>
      <c r="AC326" s="77">
        <f>23298.38</f>
        <v>23298.38</v>
      </c>
      <c r="AD326" s="79">
        <v>0.065</v>
      </c>
      <c r="AE326" s="80">
        <f t="shared" si="159"/>
        <v>746.8247836</v>
      </c>
      <c r="AF326" s="81">
        <v>23563.01</v>
      </c>
      <c r="AG326" s="79">
        <v>0.065</v>
      </c>
      <c r="AH326" s="80">
        <f>((AF326*AG326)/365)*180</f>
        <v>755.3074438</v>
      </c>
      <c r="AI326" s="82">
        <f>AC326+AF326</f>
        <v>46861.39</v>
      </c>
      <c r="AJ326" s="82">
        <f t="shared" si="157"/>
        <v>1502.132227</v>
      </c>
      <c r="AK326" s="83">
        <f>IF(AJ326&lt;AA326,AJ326,AA326)</f>
        <v>1502.132227</v>
      </c>
      <c r="AL326" s="84">
        <f t="shared" si="158"/>
        <v>1741.862227</v>
      </c>
      <c r="AP326" s="85">
        <f t="shared" si="9"/>
        <v>1</v>
      </c>
      <c r="AQ326" s="20">
        <f t="shared" si="10"/>
        <v>1</v>
      </c>
      <c r="AR326" s="20">
        <f t="shared" si="11"/>
        <v>1</v>
      </c>
      <c r="AS326" s="86">
        <f t="shared" si="12"/>
        <v>8358.86</v>
      </c>
      <c r="AT326" s="87">
        <f t="shared" si="13"/>
        <v>46861.39</v>
      </c>
      <c r="AU326" s="88">
        <f t="shared" si="81"/>
        <v>0.2666666667</v>
      </c>
      <c r="AV326" s="89" t="str">
        <f t="shared" si="15"/>
        <v>#VALUE!</v>
      </c>
      <c r="AW326" s="90" t="str">
        <f t="shared" si="16"/>
        <v>#VALUE!</v>
      </c>
      <c r="AY326" s="85">
        <f t="shared" si="17"/>
        <v>0</v>
      </c>
      <c r="AZ326" s="20">
        <f t="shared" si="18"/>
        <v>1</v>
      </c>
      <c r="BA326" s="20">
        <f t="shared" si="19"/>
        <v>0</v>
      </c>
      <c r="BB326" s="91">
        <f t="shared" si="20"/>
        <v>0</v>
      </c>
      <c r="BC326" s="87">
        <f t="shared" si="21"/>
        <v>0</v>
      </c>
      <c r="BD326" s="92">
        <f t="shared" si="22"/>
        <v>0</v>
      </c>
      <c r="BE326" s="89" t="str">
        <f t="shared" si="23"/>
        <v>#VALUE!</v>
      </c>
      <c r="BF326" s="90">
        <f t="shared" si="24"/>
        <v>0</v>
      </c>
      <c r="BH326" s="93">
        <f t="shared" si="25"/>
        <v>46861.39</v>
      </c>
      <c r="BI326" s="94">
        <f t="shared" si="26"/>
        <v>1</v>
      </c>
      <c r="BJ326" s="95" t="str">
        <f t="shared" si="27"/>
        <v>#VALUE!</v>
      </c>
      <c r="BK326" s="96" t="str">
        <f t="shared" si="28"/>
        <v>#VALUE!</v>
      </c>
      <c r="BM326" s="97">
        <f t="shared" si="29"/>
        <v>1</v>
      </c>
    </row>
    <row r="327" ht="12.75" customHeight="1">
      <c r="A327" s="65"/>
      <c r="B327" s="66" t="s">
        <v>657</v>
      </c>
      <c r="C327" s="67">
        <v>50000.0</v>
      </c>
      <c r="D327" s="68">
        <v>13.0</v>
      </c>
      <c r="E327" s="67">
        <v>34841.43</v>
      </c>
      <c r="F327" s="68" t="s">
        <v>64</v>
      </c>
      <c r="G327" s="69">
        <v>45177.0</v>
      </c>
      <c r="H327" s="70" t="s">
        <v>57</v>
      </c>
      <c r="I327" s="100">
        <v>45595.0</v>
      </c>
      <c r="J327" s="71">
        <f t="shared" si="99"/>
        <v>13.93333333</v>
      </c>
      <c r="K327" s="98" t="s">
        <v>658</v>
      </c>
      <c r="L327" s="98">
        <v>45000.0</v>
      </c>
      <c r="M327" s="73">
        <v>437.42</v>
      </c>
      <c r="N327" s="73">
        <v>9081.720000000001</v>
      </c>
      <c r="O327" s="101">
        <v>2669.8</v>
      </c>
      <c r="P327" s="73">
        <f t="shared" si="70"/>
        <v>0</v>
      </c>
      <c r="Q327" s="73">
        <f t="shared" si="71"/>
        <v>2030.37</v>
      </c>
      <c r="R327" s="74">
        <f t="shared" si="72"/>
        <v>0.05827458861</v>
      </c>
      <c r="S327" s="74">
        <f t="shared" si="73"/>
        <v>0.9417254114</v>
      </c>
      <c r="T327" s="75"/>
      <c r="V327" s="76"/>
      <c r="W327" s="77"/>
      <c r="X327" s="77"/>
      <c r="Y327" s="77"/>
      <c r="Z327" s="77"/>
      <c r="AA327" s="77"/>
      <c r="AB327" s="78"/>
      <c r="AC327" s="77"/>
      <c r="AD327" s="79"/>
      <c r="AE327" s="80"/>
      <c r="AF327" s="81"/>
      <c r="AG327" s="79"/>
      <c r="AH327" s="80"/>
      <c r="AI327" s="82"/>
      <c r="AJ327" s="82"/>
      <c r="AK327" s="83"/>
      <c r="AL327" s="84"/>
      <c r="AP327" s="85">
        <f t="shared" si="9"/>
        <v>0</v>
      </c>
      <c r="AQ327" s="20">
        <f t="shared" si="10"/>
        <v>1</v>
      </c>
      <c r="AR327" s="20">
        <f t="shared" si="11"/>
        <v>0</v>
      </c>
      <c r="AS327" s="86">
        <f t="shared" si="12"/>
        <v>0</v>
      </c>
      <c r="AT327" s="87">
        <f t="shared" si="13"/>
        <v>0</v>
      </c>
      <c r="AU327" s="88">
        <f t="shared" si="81"/>
        <v>0</v>
      </c>
      <c r="AV327" s="89" t="str">
        <f t="shared" si="15"/>
        <v>#VALUE!</v>
      </c>
      <c r="AW327" s="90">
        <f t="shared" si="16"/>
        <v>0</v>
      </c>
      <c r="AY327" s="85">
        <f t="shared" si="17"/>
        <v>1</v>
      </c>
      <c r="AZ327" s="20">
        <f t="shared" si="18"/>
        <v>1</v>
      </c>
      <c r="BA327" s="20">
        <f t="shared" si="19"/>
        <v>1</v>
      </c>
      <c r="BB327" s="91">
        <f t="shared" si="20"/>
        <v>11751.52</v>
      </c>
      <c r="BC327" s="87">
        <f t="shared" si="21"/>
        <v>34841.43</v>
      </c>
      <c r="BD327" s="92">
        <f t="shared" si="22"/>
        <v>13.93333333</v>
      </c>
      <c r="BE327" s="89" t="str">
        <f t="shared" si="23"/>
        <v>#VALUE!</v>
      </c>
      <c r="BF327" s="90" t="str">
        <f t="shared" si="24"/>
        <v>#VALUE!</v>
      </c>
      <c r="BH327" s="93">
        <f t="shared" si="25"/>
        <v>34841.43</v>
      </c>
      <c r="BI327" s="94">
        <f t="shared" si="26"/>
        <v>1</v>
      </c>
      <c r="BJ327" s="95" t="str">
        <f t="shared" si="27"/>
        <v>#VALUE!</v>
      </c>
      <c r="BK327" s="96" t="str">
        <f t="shared" si="28"/>
        <v>#VALUE!</v>
      </c>
      <c r="BM327" s="97">
        <f t="shared" si="29"/>
        <v>1</v>
      </c>
    </row>
    <row r="328" ht="12.75" customHeight="1">
      <c r="A328" s="65"/>
      <c r="B328" s="66" t="s">
        <v>659</v>
      </c>
      <c r="C328" s="67">
        <v>38664.5</v>
      </c>
      <c r="D328" s="68">
        <v>13.0</v>
      </c>
      <c r="E328" s="67">
        <v>31417.47</v>
      </c>
      <c r="F328" s="68" t="s">
        <v>56</v>
      </c>
      <c r="G328" s="69">
        <v>45322.0</v>
      </c>
      <c r="H328" s="70" t="s">
        <v>57</v>
      </c>
      <c r="I328" s="69">
        <v>45411.0</v>
      </c>
      <c r="J328" s="71">
        <f t="shared" si="99"/>
        <v>2.966666667</v>
      </c>
      <c r="K328" s="98" t="s">
        <v>660</v>
      </c>
      <c r="L328" s="72">
        <v>45000.0</v>
      </c>
      <c r="M328" s="73">
        <v>531.77</v>
      </c>
      <c r="N328" s="113">
        <v>6947.0599999999995</v>
      </c>
      <c r="O328" s="73">
        <v>2325.51</v>
      </c>
      <c r="P328" s="73">
        <f t="shared" si="70"/>
        <v>0</v>
      </c>
      <c r="Q328" s="73">
        <f t="shared" si="71"/>
        <v>0</v>
      </c>
      <c r="R328" s="74">
        <f t="shared" si="72"/>
        <v>0</v>
      </c>
      <c r="S328" s="74">
        <f t="shared" si="73"/>
        <v>1</v>
      </c>
      <c r="T328" s="75"/>
      <c r="V328" s="76">
        <v>297.33</v>
      </c>
      <c r="W328" s="77"/>
      <c r="X328" s="77">
        <v>20.81</v>
      </c>
      <c r="Y328" s="77"/>
      <c r="Z328" s="77">
        <f>133.98+159.06+179.19</f>
        <v>472.23</v>
      </c>
      <c r="AA328" s="77">
        <v>244.74</v>
      </c>
      <c r="AB328" s="78">
        <f>AA328+Z328+Y328+X328+V328+W328</f>
        <v>1035.11</v>
      </c>
      <c r="AC328" s="77">
        <v>31417.47</v>
      </c>
      <c r="AD328" s="79">
        <v>0.0025</v>
      </c>
      <c r="AE328" s="80">
        <f>((AC328*AD328)/365)*180</f>
        <v>38.73386712</v>
      </c>
      <c r="AF328" s="81"/>
      <c r="AG328" s="79"/>
      <c r="AH328" s="80"/>
      <c r="AI328" s="82"/>
      <c r="AJ328" s="82">
        <f>AE328+AH328</f>
        <v>38.73386712</v>
      </c>
      <c r="AK328" s="83">
        <f>IF(AJ328&lt;AA328,AJ328,AA328)</f>
        <v>38.73386712</v>
      </c>
      <c r="AL328" s="84">
        <f>W328+X328+Y328+Z328+AK328</f>
        <v>531.7738671</v>
      </c>
      <c r="AP328" s="85">
        <f t="shared" si="9"/>
        <v>1</v>
      </c>
      <c r="AQ328" s="20">
        <f t="shared" si="10"/>
        <v>1</v>
      </c>
      <c r="AR328" s="20">
        <f t="shared" si="11"/>
        <v>1</v>
      </c>
      <c r="AS328" s="86">
        <f t="shared" si="12"/>
        <v>9272.57</v>
      </c>
      <c r="AT328" s="87">
        <f t="shared" si="13"/>
        <v>31417.47</v>
      </c>
      <c r="AU328" s="88">
        <f t="shared" si="81"/>
        <v>2.966666667</v>
      </c>
      <c r="AV328" s="89" t="str">
        <f t="shared" si="15"/>
        <v>#VALUE!</v>
      </c>
      <c r="AW328" s="90" t="str">
        <f t="shared" si="16"/>
        <v>#VALUE!</v>
      </c>
      <c r="AY328" s="85">
        <f t="shared" si="17"/>
        <v>0</v>
      </c>
      <c r="AZ328" s="20">
        <f t="shared" si="18"/>
        <v>1</v>
      </c>
      <c r="BA328" s="20">
        <f t="shared" si="19"/>
        <v>0</v>
      </c>
      <c r="BB328" s="91">
        <f t="shared" si="20"/>
        <v>0</v>
      </c>
      <c r="BC328" s="87">
        <f t="shared" si="21"/>
        <v>0</v>
      </c>
      <c r="BD328" s="92">
        <f t="shared" si="22"/>
        <v>0</v>
      </c>
      <c r="BE328" s="89" t="str">
        <f t="shared" si="23"/>
        <v>#VALUE!</v>
      </c>
      <c r="BF328" s="90">
        <f t="shared" si="24"/>
        <v>0</v>
      </c>
      <c r="BH328" s="93">
        <f t="shared" si="25"/>
        <v>31417.47</v>
      </c>
      <c r="BI328" s="94">
        <f t="shared" si="26"/>
        <v>1</v>
      </c>
      <c r="BJ328" s="95" t="str">
        <f t="shared" si="27"/>
        <v>#VALUE!</v>
      </c>
      <c r="BK328" s="96" t="str">
        <f t="shared" si="28"/>
        <v>#VALUE!</v>
      </c>
      <c r="BM328" s="97">
        <f t="shared" si="29"/>
        <v>1</v>
      </c>
    </row>
    <row r="329" ht="12.75" customHeight="1">
      <c r="A329" s="65"/>
      <c r="B329" s="66" t="s">
        <v>661</v>
      </c>
      <c r="C329" s="67">
        <v>62000.0</v>
      </c>
      <c r="D329" s="68">
        <v>13.0</v>
      </c>
      <c r="E329" s="67">
        <v>51881.78</v>
      </c>
      <c r="F329" s="68" t="s">
        <v>56</v>
      </c>
      <c r="G329" s="69">
        <v>45289.0</v>
      </c>
      <c r="H329" s="70" t="s">
        <v>57</v>
      </c>
      <c r="I329" s="100">
        <v>45442.0</v>
      </c>
      <c r="J329" s="71">
        <f t="shared" si="99"/>
        <v>5.1</v>
      </c>
      <c r="K329" s="98" t="s">
        <v>662</v>
      </c>
      <c r="L329" s="98">
        <v>62000.0</v>
      </c>
      <c r="M329" s="73">
        <v>895.96</v>
      </c>
      <c r="N329" s="110">
        <v>7878.97</v>
      </c>
      <c r="O329" s="101">
        <v>4064.85</v>
      </c>
      <c r="P329" s="73">
        <f t="shared" si="70"/>
        <v>0</v>
      </c>
      <c r="Q329" s="73">
        <f t="shared" si="71"/>
        <v>2721.56</v>
      </c>
      <c r="R329" s="74">
        <f t="shared" si="72"/>
        <v>0.05245695117</v>
      </c>
      <c r="S329" s="74">
        <f t="shared" si="73"/>
        <v>0.9475430488</v>
      </c>
      <c r="T329" s="75"/>
      <c r="V329" s="76"/>
      <c r="W329" s="77"/>
      <c r="X329" s="77"/>
      <c r="Y329" s="77"/>
      <c r="Z329" s="77"/>
      <c r="AA329" s="77"/>
      <c r="AB329" s="78"/>
      <c r="AC329" s="77"/>
      <c r="AD329" s="79"/>
      <c r="AE329" s="80"/>
      <c r="AF329" s="81"/>
      <c r="AG329" s="79"/>
      <c r="AH329" s="80"/>
      <c r="AI329" s="82"/>
      <c r="AJ329" s="82"/>
      <c r="AK329" s="83"/>
      <c r="AL329" s="84"/>
      <c r="AP329" s="85">
        <f t="shared" si="9"/>
        <v>1</v>
      </c>
      <c r="AQ329" s="20">
        <f t="shared" si="10"/>
        <v>1</v>
      </c>
      <c r="AR329" s="20">
        <f t="shared" si="11"/>
        <v>1</v>
      </c>
      <c r="AS329" s="86">
        <f t="shared" si="12"/>
        <v>11943.82</v>
      </c>
      <c r="AT329" s="87">
        <f t="shared" si="13"/>
        <v>51881.78</v>
      </c>
      <c r="AU329" s="88">
        <f t="shared" si="81"/>
        <v>5.1</v>
      </c>
      <c r="AV329" s="89" t="str">
        <f t="shared" si="15"/>
        <v>#VALUE!</v>
      </c>
      <c r="AW329" s="90" t="str">
        <f t="shared" si="16"/>
        <v>#VALUE!</v>
      </c>
      <c r="AY329" s="85">
        <f t="shared" si="17"/>
        <v>0</v>
      </c>
      <c r="AZ329" s="20">
        <f t="shared" si="18"/>
        <v>1</v>
      </c>
      <c r="BA329" s="20">
        <f t="shared" si="19"/>
        <v>0</v>
      </c>
      <c r="BB329" s="91">
        <f t="shared" si="20"/>
        <v>0</v>
      </c>
      <c r="BC329" s="87">
        <f t="shared" si="21"/>
        <v>0</v>
      </c>
      <c r="BD329" s="92">
        <f t="shared" si="22"/>
        <v>0</v>
      </c>
      <c r="BE329" s="89" t="str">
        <f t="shared" si="23"/>
        <v>#VALUE!</v>
      </c>
      <c r="BF329" s="90">
        <f t="shared" si="24"/>
        <v>0</v>
      </c>
      <c r="BH329" s="93">
        <f t="shared" si="25"/>
        <v>51881.78</v>
      </c>
      <c r="BI329" s="94">
        <f t="shared" si="26"/>
        <v>1</v>
      </c>
      <c r="BJ329" s="95" t="str">
        <f t="shared" si="27"/>
        <v>#VALUE!</v>
      </c>
      <c r="BK329" s="96" t="str">
        <f t="shared" si="28"/>
        <v>#VALUE!</v>
      </c>
      <c r="BM329" s="97">
        <f t="shared" si="29"/>
        <v>1</v>
      </c>
    </row>
    <row r="330" ht="12.75" customHeight="1">
      <c r="A330" s="65"/>
      <c r="B330" s="66" t="s">
        <v>663</v>
      </c>
      <c r="C330" s="67">
        <v>49500.0</v>
      </c>
      <c r="D330" s="68">
        <v>13.0</v>
      </c>
      <c r="E330" s="67">
        <v>44102.87</v>
      </c>
      <c r="F330" s="68" t="s">
        <v>56</v>
      </c>
      <c r="G330" s="69">
        <v>45021.0</v>
      </c>
      <c r="H330" s="71" t="s">
        <v>57</v>
      </c>
      <c r="I330" s="69">
        <v>45411.0</v>
      </c>
      <c r="J330" s="71">
        <f t="shared" si="99"/>
        <v>13</v>
      </c>
      <c r="K330" s="98" t="s">
        <v>664</v>
      </c>
      <c r="L330" s="72">
        <v>55000.0</v>
      </c>
      <c r="M330" s="73">
        <v>1637.62</v>
      </c>
      <c r="N330" s="101">
        <v>8130.73</v>
      </c>
      <c r="O330" s="73">
        <v>2234.36</v>
      </c>
      <c r="P330" s="73">
        <f t="shared" si="70"/>
        <v>0</v>
      </c>
      <c r="Q330" s="73">
        <f t="shared" si="71"/>
        <v>1105.58</v>
      </c>
      <c r="R330" s="74">
        <f t="shared" si="72"/>
        <v>0.02506820985</v>
      </c>
      <c r="S330" s="74">
        <f t="shared" si="73"/>
        <v>0.9749317902</v>
      </c>
      <c r="T330" s="75"/>
      <c r="V330" s="76">
        <f>378.82</f>
        <v>378.82</v>
      </c>
      <c r="W330" s="77"/>
      <c r="X330" s="77">
        <v>26.52</v>
      </c>
      <c r="Y330" s="77">
        <v>194.24</v>
      </c>
      <c r="Z330" s="77">
        <f>208+327.2+246.4+49.6+53.6</f>
        <v>884.8</v>
      </c>
      <c r="AA330" s="77">
        <f>2278.42+1541.27</f>
        <v>3819.69</v>
      </c>
      <c r="AB330" s="78">
        <f>AA330+Z330+Y330+X330+V330+W330</f>
        <v>5304.07</v>
      </c>
      <c r="AC330" s="77">
        <v>38253.17</v>
      </c>
      <c r="AD330" s="79">
        <v>0.0175</v>
      </c>
      <c r="AE330" s="80">
        <f>((AC330*AD330)/365)*180</f>
        <v>330.1300973</v>
      </c>
      <c r="AF330" s="81">
        <v>5849.7</v>
      </c>
      <c r="AG330" s="79">
        <v>0.07</v>
      </c>
      <c r="AH330" s="80">
        <f>((AF330*AG330)/365)*180</f>
        <v>201.9348493</v>
      </c>
      <c r="AI330" s="82">
        <f>AC330+AF330</f>
        <v>44102.87</v>
      </c>
      <c r="AJ330" s="82">
        <f t="shared" ref="AJ330:AJ331" si="160">AE330+AH330</f>
        <v>532.0649466</v>
      </c>
      <c r="AK330" s="83">
        <f>IF(AJ330&lt;AA330,AJ330,AA330)</f>
        <v>532.0649466</v>
      </c>
      <c r="AL330" s="84">
        <f t="shared" ref="AL330:AL331" si="161">W330+X330+Y330+Z330+AK330</f>
        <v>1637.624947</v>
      </c>
      <c r="AP330" s="85">
        <f t="shared" si="9"/>
        <v>1</v>
      </c>
      <c r="AQ330" s="20">
        <f t="shared" si="10"/>
        <v>1</v>
      </c>
      <c r="AR330" s="20">
        <f t="shared" si="11"/>
        <v>1</v>
      </c>
      <c r="AS330" s="86">
        <f t="shared" si="12"/>
        <v>10365.09</v>
      </c>
      <c r="AT330" s="87">
        <f t="shared" si="13"/>
        <v>44102.87</v>
      </c>
      <c r="AU330" s="88">
        <f t="shared" si="81"/>
        <v>13</v>
      </c>
      <c r="AV330" s="89" t="str">
        <f t="shared" si="15"/>
        <v>#VALUE!</v>
      </c>
      <c r="AW330" s="90" t="str">
        <f t="shared" si="16"/>
        <v>#VALUE!</v>
      </c>
      <c r="AY330" s="85">
        <f t="shared" si="17"/>
        <v>0</v>
      </c>
      <c r="AZ330" s="20">
        <f t="shared" si="18"/>
        <v>1</v>
      </c>
      <c r="BA330" s="20">
        <f t="shared" si="19"/>
        <v>0</v>
      </c>
      <c r="BB330" s="91">
        <f t="shared" si="20"/>
        <v>0</v>
      </c>
      <c r="BC330" s="87">
        <f t="shared" si="21"/>
        <v>0</v>
      </c>
      <c r="BD330" s="92">
        <f t="shared" si="22"/>
        <v>0</v>
      </c>
      <c r="BE330" s="89" t="str">
        <f t="shared" si="23"/>
        <v>#VALUE!</v>
      </c>
      <c r="BF330" s="90">
        <f t="shared" si="24"/>
        <v>0</v>
      </c>
      <c r="BH330" s="93">
        <f t="shared" si="25"/>
        <v>44102.87</v>
      </c>
      <c r="BI330" s="94">
        <f t="shared" si="26"/>
        <v>1</v>
      </c>
      <c r="BJ330" s="95" t="str">
        <f t="shared" si="27"/>
        <v>#VALUE!</v>
      </c>
      <c r="BK330" s="96" t="str">
        <f t="shared" si="28"/>
        <v>#VALUE!</v>
      </c>
      <c r="BM330" s="97">
        <f t="shared" si="29"/>
        <v>1</v>
      </c>
    </row>
    <row r="331" ht="12.75" customHeight="1">
      <c r="A331" s="65"/>
      <c r="B331" s="115" t="s">
        <v>665</v>
      </c>
      <c r="C331" s="106">
        <v>29700.0</v>
      </c>
      <c r="D331" s="68">
        <v>13.0</v>
      </c>
      <c r="E331" s="67">
        <v>27103.95</v>
      </c>
      <c r="F331" s="68" t="s">
        <v>56</v>
      </c>
      <c r="G331" s="69">
        <v>45306.0</v>
      </c>
      <c r="H331" s="70" t="s">
        <v>57</v>
      </c>
      <c r="I331" s="100">
        <v>45836.0</v>
      </c>
      <c r="J331" s="71">
        <f t="shared" si="99"/>
        <v>17.66666667</v>
      </c>
      <c r="K331" s="98" t="s">
        <v>666</v>
      </c>
      <c r="L331" s="98">
        <v>54500.0</v>
      </c>
      <c r="M331" s="101">
        <v>1370.1</v>
      </c>
      <c r="N331" s="101">
        <v>8628.56</v>
      </c>
      <c r="O331" s="101">
        <v>3102.48</v>
      </c>
      <c r="P331" s="73">
        <f t="shared" si="70"/>
        <v>0</v>
      </c>
      <c r="Q331" s="73">
        <f t="shared" si="71"/>
        <v>0</v>
      </c>
      <c r="R331" s="74">
        <f t="shared" si="72"/>
        <v>0</v>
      </c>
      <c r="S331" s="74">
        <f t="shared" si="73"/>
        <v>1</v>
      </c>
      <c r="T331" s="75"/>
      <c r="V331" s="76"/>
      <c r="W331" s="77"/>
      <c r="X331" s="77"/>
      <c r="Y331" s="77"/>
      <c r="Z331" s="77"/>
      <c r="AA331" s="77"/>
      <c r="AB331" s="78"/>
      <c r="AC331" s="77"/>
      <c r="AD331" s="79"/>
      <c r="AE331" s="80"/>
      <c r="AF331" s="81"/>
      <c r="AG331" s="79"/>
      <c r="AH331" s="80"/>
      <c r="AI331" s="82"/>
      <c r="AJ331" s="82">
        <f t="shared" si="160"/>
        <v>0</v>
      </c>
      <c r="AK331" s="83"/>
      <c r="AL331" s="84">
        <f t="shared" si="161"/>
        <v>0</v>
      </c>
      <c r="AP331" s="85">
        <f t="shared" si="9"/>
        <v>1</v>
      </c>
      <c r="AQ331" s="20">
        <f t="shared" si="10"/>
        <v>1</v>
      </c>
      <c r="AR331" s="20">
        <f t="shared" si="11"/>
        <v>1</v>
      </c>
      <c r="AS331" s="86">
        <f t="shared" si="12"/>
        <v>11731.04</v>
      </c>
      <c r="AT331" s="87">
        <f t="shared" si="13"/>
        <v>27103.95</v>
      </c>
      <c r="AU331" s="88">
        <f t="shared" si="81"/>
        <v>17.66666667</v>
      </c>
      <c r="AV331" s="89" t="str">
        <f t="shared" si="15"/>
        <v>#VALUE!</v>
      </c>
      <c r="AW331" s="90" t="str">
        <f t="shared" si="16"/>
        <v>#VALUE!</v>
      </c>
      <c r="AY331" s="85">
        <f t="shared" si="17"/>
        <v>0</v>
      </c>
      <c r="AZ331" s="20">
        <f t="shared" si="18"/>
        <v>1</v>
      </c>
      <c r="BA331" s="20">
        <f t="shared" si="19"/>
        <v>0</v>
      </c>
      <c r="BB331" s="91">
        <f t="shared" si="20"/>
        <v>0</v>
      </c>
      <c r="BC331" s="87">
        <f t="shared" si="21"/>
        <v>0</v>
      </c>
      <c r="BD331" s="92">
        <f t="shared" si="22"/>
        <v>0</v>
      </c>
      <c r="BE331" s="89" t="str">
        <f t="shared" si="23"/>
        <v>#VALUE!</v>
      </c>
      <c r="BF331" s="90">
        <f t="shared" si="24"/>
        <v>0</v>
      </c>
      <c r="BH331" s="93">
        <f t="shared" si="25"/>
        <v>27103.95</v>
      </c>
      <c r="BI331" s="94">
        <f t="shared" si="26"/>
        <v>1</v>
      </c>
      <c r="BJ331" s="95" t="str">
        <f t="shared" si="27"/>
        <v>#VALUE!</v>
      </c>
      <c r="BK331" s="96" t="str">
        <f t="shared" si="28"/>
        <v>#VALUE!</v>
      </c>
      <c r="BM331" s="97">
        <f t="shared" si="29"/>
        <v>1</v>
      </c>
    </row>
    <row r="332" ht="12.75" customHeight="1">
      <c r="A332" s="65"/>
      <c r="B332" s="115" t="s">
        <v>667</v>
      </c>
      <c r="C332" s="67">
        <v>52000.0</v>
      </c>
      <c r="D332" s="68">
        <v>13.0</v>
      </c>
      <c r="E332" s="67">
        <v>40635.97</v>
      </c>
      <c r="F332" s="68" t="s">
        <v>64</v>
      </c>
      <c r="G332" s="69">
        <v>45386.0</v>
      </c>
      <c r="H332" s="70" t="s">
        <v>57</v>
      </c>
      <c r="I332" s="100">
        <v>45603.0</v>
      </c>
      <c r="J332" s="71">
        <f t="shared" si="99"/>
        <v>7.233333333</v>
      </c>
      <c r="K332" s="98" t="s">
        <v>668</v>
      </c>
      <c r="L332" s="98">
        <v>48000.0</v>
      </c>
      <c r="M332" s="73">
        <v>61.68</v>
      </c>
      <c r="N332" s="73">
        <v>7900.41</v>
      </c>
      <c r="O332" s="101">
        <v>320.0</v>
      </c>
      <c r="P332" s="73">
        <f t="shared" si="70"/>
        <v>0</v>
      </c>
      <c r="Q332" s="73">
        <f t="shared" si="71"/>
        <v>918.06</v>
      </c>
      <c r="R332" s="74">
        <f t="shared" si="72"/>
        <v>0.02259229938</v>
      </c>
      <c r="S332" s="74">
        <f t="shared" si="73"/>
        <v>0.9774077006</v>
      </c>
      <c r="T332" s="75"/>
      <c r="V332" s="76"/>
      <c r="W332" s="77"/>
      <c r="X332" s="77"/>
      <c r="Y332" s="77"/>
      <c r="Z332" s="77"/>
      <c r="AA332" s="77"/>
      <c r="AB332" s="78"/>
      <c r="AC332" s="77"/>
      <c r="AD332" s="79"/>
      <c r="AE332" s="80"/>
      <c r="AF332" s="81"/>
      <c r="AG332" s="79"/>
      <c r="AH332" s="80"/>
      <c r="AI332" s="82"/>
      <c r="AJ332" s="82"/>
      <c r="AK332" s="83"/>
      <c r="AL332" s="84"/>
      <c r="AP332" s="85">
        <f t="shared" si="9"/>
        <v>0</v>
      </c>
      <c r="AQ332" s="20">
        <f t="shared" si="10"/>
        <v>1</v>
      </c>
      <c r="AR332" s="20">
        <f t="shared" si="11"/>
        <v>0</v>
      </c>
      <c r="AS332" s="86">
        <f t="shared" si="12"/>
        <v>0</v>
      </c>
      <c r="AT332" s="87">
        <f t="shared" si="13"/>
        <v>0</v>
      </c>
      <c r="AU332" s="88">
        <f t="shared" si="81"/>
        <v>0</v>
      </c>
      <c r="AV332" s="89" t="str">
        <f t="shared" si="15"/>
        <v>#VALUE!</v>
      </c>
      <c r="AW332" s="90">
        <f t="shared" si="16"/>
        <v>0</v>
      </c>
      <c r="AY332" s="85">
        <f t="shared" si="17"/>
        <v>1</v>
      </c>
      <c r="AZ332" s="20">
        <f t="shared" si="18"/>
        <v>1</v>
      </c>
      <c r="BA332" s="20">
        <f t="shared" si="19"/>
        <v>1</v>
      </c>
      <c r="BB332" s="91">
        <f t="shared" si="20"/>
        <v>8220.41</v>
      </c>
      <c r="BC332" s="87">
        <f t="shared" si="21"/>
        <v>40635.97</v>
      </c>
      <c r="BD332" s="92">
        <f t="shared" si="22"/>
        <v>7.233333333</v>
      </c>
      <c r="BE332" s="89" t="str">
        <f t="shared" si="23"/>
        <v>#VALUE!</v>
      </c>
      <c r="BF332" s="90" t="str">
        <f t="shared" si="24"/>
        <v>#VALUE!</v>
      </c>
      <c r="BH332" s="93">
        <f t="shared" si="25"/>
        <v>40635.97</v>
      </c>
      <c r="BI332" s="94">
        <f t="shared" si="26"/>
        <v>1</v>
      </c>
      <c r="BJ332" s="95" t="str">
        <f t="shared" si="27"/>
        <v>#VALUE!</v>
      </c>
      <c r="BK332" s="96" t="str">
        <f t="shared" si="28"/>
        <v>#VALUE!</v>
      </c>
      <c r="BM332" s="97">
        <f t="shared" si="29"/>
        <v>1</v>
      </c>
    </row>
    <row r="333" ht="12.75" customHeight="1">
      <c r="A333" s="65"/>
      <c r="B333" s="115" t="s">
        <v>669</v>
      </c>
      <c r="C333" s="67">
        <v>50000.0</v>
      </c>
      <c r="D333" s="68">
        <v>13.0</v>
      </c>
      <c r="E333" s="67">
        <v>39551.0</v>
      </c>
      <c r="F333" s="68" t="s">
        <v>64</v>
      </c>
      <c r="G333" s="69">
        <v>45386.0</v>
      </c>
      <c r="H333" s="70" t="s">
        <v>57</v>
      </c>
      <c r="I333" s="100">
        <v>45674.0</v>
      </c>
      <c r="J333" s="71">
        <f t="shared" si="99"/>
        <v>9.6</v>
      </c>
      <c r="K333" s="98" t="s">
        <v>670</v>
      </c>
      <c r="L333" s="98">
        <v>52500.0</v>
      </c>
      <c r="M333" s="73">
        <f>322.67+68.25+82.03+60.84+14.16+120.25</f>
        <v>668.2</v>
      </c>
      <c r="N333" s="73">
        <f>454+100+41+3392.78+258.75+82+3+30+344+16+112+55+2625+267.5+60+20</f>
        <v>7861.03</v>
      </c>
      <c r="O333" s="101">
        <v>2079.79</v>
      </c>
      <c r="P333" s="73">
        <f t="shared" si="70"/>
        <v>0</v>
      </c>
      <c r="Q333" s="73">
        <f t="shared" si="71"/>
        <v>0</v>
      </c>
      <c r="R333" s="74">
        <f t="shared" si="72"/>
        <v>0</v>
      </c>
      <c r="S333" s="74">
        <f t="shared" si="73"/>
        <v>1</v>
      </c>
      <c r="T333" s="75"/>
      <c r="V333" s="76"/>
      <c r="W333" s="77"/>
      <c r="X333" s="77"/>
      <c r="Y333" s="77"/>
      <c r="Z333" s="77"/>
      <c r="AA333" s="77"/>
      <c r="AB333" s="78"/>
      <c r="AC333" s="77"/>
      <c r="AD333" s="79"/>
      <c r="AE333" s="80"/>
      <c r="AF333" s="81"/>
      <c r="AG333" s="79"/>
      <c r="AH333" s="80"/>
      <c r="AI333" s="82"/>
      <c r="AJ333" s="82"/>
      <c r="AK333" s="83"/>
      <c r="AL333" s="84"/>
      <c r="AP333" s="85">
        <f t="shared" si="9"/>
        <v>0</v>
      </c>
      <c r="AQ333" s="20">
        <f t="shared" si="10"/>
        <v>1</v>
      </c>
      <c r="AR333" s="20">
        <f t="shared" si="11"/>
        <v>0</v>
      </c>
      <c r="AS333" s="86">
        <f t="shared" si="12"/>
        <v>0</v>
      </c>
      <c r="AT333" s="87">
        <f t="shared" si="13"/>
        <v>0</v>
      </c>
      <c r="AU333" s="88">
        <f t="shared" si="81"/>
        <v>0</v>
      </c>
      <c r="AV333" s="89" t="str">
        <f t="shared" si="15"/>
        <v>#VALUE!</v>
      </c>
      <c r="AW333" s="90">
        <f t="shared" si="16"/>
        <v>0</v>
      </c>
      <c r="AY333" s="85">
        <f t="shared" si="17"/>
        <v>1</v>
      </c>
      <c r="AZ333" s="20">
        <f t="shared" si="18"/>
        <v>1</v>
      </c>
      <c r="BA333" s="20">
        <f t="shared" si="19"/>
        <v>1</v>
      </c>
      <c r="BB333" s="91">
        <f t="shared" si="20"/>
        <v>9940.82</v>
      </c>
      <c r="BC333" s="87">
        <f t="shared" si="21"/>
        <v>39551</v>
      </c>
      <c r="BD333" s="92">
        <f t="shared" si="22"/>
        <v>9.6</v>
      </c>
      <c r="BE333" s="89" t="str">
        <f t="shared" si="23"/>
        <v>#VALUE!</v>
      </c>
      <c r="BF333" s="90" t="str">
        <f t="shared" si="24"/>
        <v>#VALUE!</v>
      </c>
      <c r="BH333" s="93">
        <f t="shared" si="25"/>
        <v>39551</v>
      </c>
      <c r="BI333" s="94">
        <f t="shared" si="26"/>
        <v>1</v>
      </c>
      <c r="BJ333" s="95" t="str">
        <f t="shared" si="27"/>
        <v>#VALUE!</v>
      </c>
      <c r="BK333" s="96" t="str">
        <f t="shared" si="28"/>
        <v>#VALUE!</v>
      </c>
      <c r="BM333" s="97">
        <f t="shared" si="29"/>
        <v>1</v>
      </c>
    </row>
    <row r="334" ht="12.75" customHeight="1">
      <c r="A334" s="65"/>
      <c r="B334" s="115" t="s">
        <v>671</v>
      </c>
      <c r="C334" s="67">
        <v>55000.0</v>
      </c>
      <c r="D334" s="68">
        <v>13.0</v>
      </c>
      <c r="E334" s="67">
        <v>54745.8</v>
      </c>
      <c r="F334" s="68" t="s">
        <v>64</v>
      </c>
      <c r="G334" s="69">
        <v>45390.0</v>
      </c>
      <c r="H334" s="70" t="s">
        <v>57</v>
      </c>
      <c r="I334" s="100">
        <v>45709.0</v>
      </c>
      <c r="J334" s="71">
        <f t="shared" si="99"/>
        <v>10.63333333</v>
      </c>
      <c r="K334" s="98" t="s">
        <v>672</v>
      </c>
      <c r="L334" s="98">
        <v>60000.0</v>
      </c>
      <c r="M334" s="101">
        <v>59.13</v>
      </c>
      <c r="N334" s="101">
        <v>7845.79</v>
      </c>
      <c r="O334" s="101">
        <v>120.0</v>
      </c>
      <c r="P334" s="73">
        <f t="shared" si="70"/>
        <v>0</v>
      </c>
      <c r="Q334" s="73">
        <f t="shared" si="71"/>
        <v>2770.72</v>
      </c>
      <c r="R334" s="74">
        <f t="shared" si="72"/>
        <v>0.05061064045</v>
      </c>
      <c r="S334" s="74">
        <f t="shared" si="73"/>
        <v>0.9493893595</v>
      </c>
      <c r="T334" s="75"/>
      <c r="V334" s="76"/>
      <c r="W334" s="77"/>
      <c r="X334" s="77"/>
      <c r="Y334" s="77"/>
      <c r="Z334" s="77"/>
      <c r="AA334" s="77"/>
      <c r="AB334" s="78"/>
      <c r="AC334" s="77"/>
      <c r="AD334" s="79"/>
      <c r="AE334" s="80"/>
      <c r="AF334" s="81"/>
      <c r="AG334" s="79"/>
      <c r="AH334" s="80"/>
      <c r="AI334" s="82"/>
      <c r="AJ334" s="82"/>
      <c r="AK334" s="83"/>
      <c r="AL334" s="84"/>
      <c r="AP334" s="85">
        <f t="shared" si="9"/>
        <v>0</v>
      </c>
      <c r="AQ334" s="20">
        <f t="shared" si="10"/>
        <v>1</v>
      </c>
      <c r="AR334" s="20">
        <f t="shared" si="11"/>
        <v>0</v>
      </c>
      <c r="AS334" s="86">
        <f t="shared" si="12"/>
        <v>0</v>
      </c>
      <c r="AT334" s="87">
        <f t="shared" si="13"/>
        <v>0</v>
      </c>
      <c r="AU334" s="88">
        <f t="shared" si="81"/>
        <v>0</v>
      </c>
      <c r="AV334" s="89" t="str">
        <f t="shared" si="15"/>
        <v>#VALUE!</v>
      </c>
      <c r="AW334" s="90">
        <f t="shared" si="16"/>
        <v>0</v>
      </c>
      <c r="AY334" s="85">
        <f t="shared" si="17"/>
        <v>1</v>
      </c>
      <c r="AZ334" s="20">
        <f t="shared" si="18"/>
        <v>1</v>
      </c>
      <c r="BA334" s="20">
        <f t="shared" si="19"/>
        <v>1</v>
      </c>
      <c r="BB334" s="91">
        <f t="shared" si="20"/>
        <v>7965.79</v>
      </c>
      <c r="BC334" s="87">
        <f t="shared" si="21"/>
        <v>54745.8</v>
      </c>
      <c r="BD334" s="92">
        <f t="shared" si="22"/>
        <v>10.63333333</v>
      </c>
      <c r="BE334" s="89" t="str">
        <f t="shared" si="23"/>
        <v>#VALUE!</v>
      </c>
      <c r="BF334" s="90" t="str">
        <f t="shared" si="24"/>
        <v>#VALUE!</v>
      </c>
      <c r="BH334" s="93">
        <f t="shared" si="25"/>
        <v>54745.8</v>
      </c>
      <c r="BI334" s="94">
        <f t="shared" si="26"/>
        <v>1</v>
      </c>
      <c r="BJ334" s="95" t="str">
        <f t="shared" si="27"/>
        <v>#VALUE!</v>
      </c>
      <c r="BK334" s="96" t="str">
        <f t="shared" si="28"/>
        <v>#VALUE!</v>
      </c>
      <c r="BM334" s="97">
        <f t="shared" si="29"/>
        <v>1</v>
      </c>
    </row>
    <row r="335" ht="12.75" customHeight="1">
      <c r="A335" s="65"/>
      <c r="B335" s="115" t="s">
        <v>673</v>
      </c>
      <c r="C335" s="67">
        <v>49995.0</v>
      </c>
      <c r="D335" s="68">
        <v>13.0</v>
      </c>
      <c r="E335" s="67">
        <v>38780.99</v>
      </c>
      <c r="F335" s="68" t="s">
        <v>64</v>
      </c>
      <c r="G335" s="69">
        <v>45390.0</v>
      </c>
      <c r="H335" s="70" t="s">
        <v>57</v>
      </c>
      <c r="I335" s="69">
        <v>45623.0</v>
      </c>
      <c r="J335" s="71">
        <f t="shared" si="99"/>
        <v>7.766666667</v>
      </c>
      <c r="K335" s="98" t="s">
        <v>674</v>
      </c>
      <c r="L335" s="98">
        <v>55000.0</v>
      </c>
      <c r="M335" s="73">
        <v>249.25000000000003</v>
      </c>
      <c r="N335" s="73">
        <v>8016.099999999999</v>
      </c>
      <c r="O335" s="101">
        <v>2495.66</v>
      </c>
      <c r="P335" s="73">
        <f t="shared" si="70"/>
        <v>0</v>
      </c>
      <c r="Q335" s="73">
        <f t="shared" si="71"/>
        <v>0</v>
      </c>
      <c r="R335" s="74">
        <f t="shared" si="72"/>
        <v>0</v>
      </c>
      <c r="S335" s="74">
        <f t="shared" si="73"/>
        <v>1</v>
      </c>
      <c r="T335" s="75"/>
      <c r="V335" s="76"/>
      <c r="W335" s="77"/>
      <c r="X335" s="77"/>
      <c r="Y335" s="77"/>
      <c r="Z335" s="77"/>
      <c r="AA335" s="77"/>
      <c r="AB335" s="78"/>
      <c r="AC335" s="77"/>
      <c r="AD335" s="79"/>
      <c r="AE335" s="80"/>
      <c r="AF335" s="81"/>
      <c r="AG335" s="79"/>
      <c r="AH335" s="80"/>
      <c r="AI335" s="82"/>
      <c r="AJ335" s="82"/>
      <c r="AK335" s="83"/>
      <c r="AL335" s="84"/>
      <c r="AP335" s="85">
        <f t="shared" si="9"/>
        <v>0</v>
      </c>
      <c r="AQ335" s="20">
        <f t="shared" si="10"/>
        <v>1</v>
      </c>
      <c r="AR335" s="20">
        <f t="shared" si="11"/>
        <v>0</v>
      </c>
      <c r="AS335" s="86">
        <f t="shared" si="12"/>
        <v>0</v>
      </c>
      <c r="AT335" s="87">
        <f t="shared" si="13"/>
        <v>0</v>
      </c>
      <c r="AU335" s="88">
        <f t="shared" si="81"/>
        <v>0</v>
      </c>
      <c r="AV335" s="89" t="str">
        <f t="shared" si="15"/>
        <v>#VALUE!</v>
      </c>
      <c r="AW335" s="90">
        <f t="shared" si="16"/>
        <v>0</v>
      </c>
      <c r="AY335" s="85">
        <f t="shared" si="17"/>
        <v>1</v>
      </c>
      <c r="AZ335" s="20">
        <f t="shared" si="18"/>
        <v>1</v>
      </c>
      <c r="BA335" s="20">
        <f t="shared" si="19"/>
        <v>1</v>
      </c>
      <c r="BB335" s="91">
        <f t="shared" si="20"/>
        <v>10511.76</v>
      </c>
      <c r="BC335" s="87">
        <f t="shared" si="21"/>
        <v>38780.99</v>
      </c>
      <c r="BD335" s="92">
        <f t="shared" si="22"/>
        <v>7.766666667</v>
      </c>
      <c r="BE335" s="89" t="str">
        <f t="shared" si="23"/>
        <v>#VALUE!</v>
      </c>
      <c r="BF335" s="90" t="str">
        <f t="shared" si="24"/>
        <v>#VALUE!</v>
      </c>
      <c r="BH335" s="93">
        <f t="shared" si="25"/>
        <v>38780.99</v>
      </c>
      <c r="BI335" s="94">
        <f t="shared" si="26"/>
        <v>1</v>
      </c>
      <c r="BJ335" s="95" t="str">
        <f t="shared" si="27"/>
        <v>#VALUE!</v>
      </c>
      <c r="BK335" s="96" t="str">
        <f t="shared" si="28"/>
        <v>#VALUE!</v>
      </c>
      <c r="BM335" s="97">
        <f t="shared" si="29"/>
        <v>1</v>
      </c>
    </row>
    <row r="336" ht="12.75" customHeight="1">
      <c r="A336" s="65"/>
      <c r="B336" s="115" t="s">
        <v>675</v>
      </c>
      <c r="C336" s="67">
        <v>40000.0</v>
      </c>
      <c r="D336" s="68">
        <v>13.0</v>
      </c>
      <c r="E336" s="67">
        <v>33171.51</v>
      </c>
      <c r="F336" s="68" t="s">
        <v>64</v>
      </c>
      <c r="G336" s="69">
        <v>45386.0</v>
      </c>
      <c r="H336" s="71" t="s">
        <v>57</v>
      </c>
      <c r="I336" s="69">
        <v>45468.0</v>
      </c>
      <c r="J336" s="71">
        <f t="shared" si="99"/>
        <v>2.733333333</v>
      </c>
      <c r="K336" s="72" t="s">
        <v>676</v>
      </c>
      <c r="L336" s="72">
        <v>47500.0</v>
      </c>
      <c r="M336" s="73">
        <v>141.83999999999997</v>
      </c>
      <c r="N336" s="113">
        <v>6937.6900000000005</v>
      </c>
      <c r="O336" s="73">
        <v>0.0</v>
      </c>
      <c r="P336" s="73">
        <f t="shared" si="70"/>
        <v>0</v>
      </c>
      <c r="Q336" s="73">
        <f t="shared" si="71"/>
        <v>0</v>
      </c>
      <c r="R336" s="74">
        <f t="shared" si="72"/>
        <v>0</v>
      </c>
      <c r="S336" s="74">
        <f t="shared" si="73"/>
        <v>1</v>
      </c>
      <c r="T336" s="75"/>
      <c r="V336" s="76"/>
      <c r="W336" s="77"/>
      <c r="X336" s="77"/>
      <c r="Y336" s="77"/>
      <c r="Z336" s="77"/>
      <c r="AA336" s="77"/>
      <c r="AB336" s="78"/>
      <c r="AC336" s="77"/>
      <c r="AD336" s="79"/>
      <c r="AE336" s="80"/>
      <c r="AF336" s="81"/>
      <c r="AG336" s="79"/>
      <c r="AH336" s="80"/>
      <c r="AI336" s="82"/>
      <c r="AJ336" s="82"/>
      <c r="AK336" s="83"/>
      <c r="AL336" s="84"/>
      <c r="AP336" s="85">
        <f t="shared" si="9"/>
        <v>0</v>
      </c>
      <c r="AQ336" s="20">
        <f t="shared" si="10"/>
        <v>1</v>
      </c>
      <c r="AR336" s="20">
        <f t="shared" si="11"/>
        <v>0</v>
      </c>
      <c r="AS336" s="86">
        <f t="shared" si="12"/>
        <v>0</v>
      </c>
      <c r="AT336" s="87">
        <f t="shared" si="13"/>
        <v>0</v>
      </c>
      <c r="AU336" s="88">
        <f t="shared" si="81"/>
        <v>0</v>
      </c>
      <c r="AV336" s="89" t="str">
        <f t="shared" si="15"/>
        <v>#VALUE!</v>
      </c>
      <c r="AW336" s="90">
        <f t="shared" si="16"/>
        <v>0</v>
      </c>
      <c r="AY336" s="85">
        <f t="shared" si="17"/>
        <v>1</v>
      </c>
      <c r="AZ336" s="20">
        <f t="shared" si="18"/>
        <v>1</v>
      </c>
      <c r="BA336" s="20">
        <f t="shared" si="19"/>
        <v>1</v>
      </c>
      <c r="BB336" s="91">
        <f t="shared" si="20"/>
        <v>6937.69</v>
      </c>
      <c r="BC336" s="87">
        <f t="shared" si="21"/>
        <v>33171.51</v>
      </c>
      <c r="BD336" s="92">
        <f t="shared" si="22"/>
        <v>2.733333333</v>
      </c>
      <c r="BE336" s="89" t="str">
        <f t="shared" si="23"/>
        <v>#VALUE!</v>
      </c>
      <c r="BF336" s="90" t="str">
        <f t="shared" si="24"/>
        <v>#VALUE!</v>
      </c>
      <c r="BH336" s="93">
        <f t="shared" si="25"/>
        <v>33171.51</v>
      </c>
      <c r="BI336" s="94">
        <f t="shared" si="26"/>
        <v>1</v>
      </c>
      <c r="BJ336" s="95" t="str">
        <f t="shared" si="27"/>
        <v>#VALUE!</v>
      </c>
      <c r="BK336" s="96" t="str">
        <f t="shared" si="28"/>
        <v>#VALUE!</v>
      </c>
      <c r="BM336" s="97">
        <f t="shared" si="29"/>
        <v>1</v>
      </c>
    </row>
    <row r="337" ht="12.75" customHeight="1">
      <c r="A337" s="65"/>
      <c r="B337" s="115" t="s">
        <v>677</v>
      </c>
      <c r="C337" s="67">
        <v>15000.0</v>
      </c>
      <c r="D337" s="68">
        <v>13.0</v>
      </c>
      <c r="E337" s="67">
        <v>14849.61</v>
      </c>
      <c r="F337" s="68" t="s">
        <v>64</v>
      </c>
      <c r="G337" s="69">
        <v>45387.0</v>
      </c>
      <c r="H337" s="70" t="s">
        <v>57</v>
      </c>
      <c r="I337" s="100">
        <v>45775.0</v>
      </c>
      <c r="J337" s="71">
        <f t="shared" si="99"/>
        <v>12.93333333</v>
      </c>
      <c r="K337" s="98" t="s">
        <v>678</v>
      </c>
      <c r="L337" s="98">
        <v>30000.0</v>
      </c>
      <c r="M337" s="101">
        <v>544.75</v>
      </c>
      <c r="N337" s="101">
        <v>4199.76</v>
      </c>
      <c r="O337" s="101">
        <v>2571.13</v>
      </c>
      <c r="P337" s="73">
        <f t="shared" si="70"/>
        <v>0</v>
      </c>
      <c r="Q337" s="73">
        <f t="shared" si="71"/>
        <v>0</v>
      </c>
      <c r="R337" s="74">
        <f t="shared" si="72"/>
        <v>0</v>
      </c>
      <c r="S337" s="74">
        <f t="shared" si="73"/>
        <v>1</v>
      </c>
      <c r="T337" s="75"/>
      <c r="V337" s="76"/>
      <c r="W337" s="77"/>
      <c r="X337" s="77"/>
      <c r="Y337" s="77"/>
      <c r="Z337" s="77"/>
      <c r="AA337" s="77"/>
      <c r="AB337" s="78"/>
      <c r="AC337" s="77"/>
      <c r="AD337" s="79"/>
      <c r="AE337" s="80"/>
      <c r="AF337" s="81"/>
      <c r="AG337" s="79"/>
      <c r="AH337" s="80"/>
      <c r="AI337" s="82"/>
      <c r="AJ337" s="82"/>
      <c r="AK337" s="83"/>
      <c r="AL337" s="84"/>
      <c r="AP337" s="85">
        <f t="shared" si="9"/>
        <v>0</v>
      </c>
      <c r="AQ337" s="20">
        <f t="shared" si="10"/>
        <v>1</v>
      </c>
      <c r="AR337" s="20">
        <f t="shared" si="11"/>
        <v>0</v>
      </c>
      <c r="AS337" s="86">
        <f t="shared" si="12"/>
        <v>0</v>
      </c>
      <c r="AT337" s="87">
        <f t="shared" si="13"/>
        <v>0</v>
      </c>
      <c r="AU337" s="88">
        <f t="shared" si="81"/>
        <v>0</v>
      </c>
      <c r="AV337" s="89" t="str">
        <f t="shared" si="15"/>
        <v>#VALUE!</v>
      </c>
      <c r="AW337" s="90">
        <f t="shared" si="16"/>
        <v>0</v>
      </c>
      <c r="AY337" s="85">
        <f t="shared" si="17"/>
        <v>1</v>
      </c>
      <c r="AZ337" s="20">
        <f t="shared" si="18"/>
        <v>1</v>
      </c>
      <c r="BA337" s="20">
        <f t="shared" si="19"/>
        <v>1</v>
      </c>
      <c r="BB337" s="91">
        <f t="shared" si="20"/>
        <v>6770.89</v>
      </c>
      <c r="BC337" s="87">
        <f t="shared" si="21"/>
        <v>14849.61</v>
      </c>
      <c r="BD337" s="92">
        <f t="shared" si="22"/>
        <v>12.93333333</v>
      </c>
      <c r="BE337" s="89" t="str">
        <f t="shared" si="23"/>
        <v>#VALUE!</v>
      </c>
      <c r="BF337" s="90" t="str">
        <f t="shared" si="24"/>
        <v>#VALUE!</v>
      </c>
      <c r="BH337" s="93">
        <f t="shared" si="25"/>
        <v>14849.61</v>
      </c>
      <c r="BI337" s="94">
        <f t="shared" si="26"/>
        <v>1</v>
      </c>
      <c r="BJ337" s="95" t="str">
        <f t="shared" si="27"/>
        <v>#VALUE!</v>
      </c>
      <c r="BK337" s="96" t="str">
        <f t="shared" si="28"/>
        <v>#VALUE!</v>
      </c>
      <c r="BM337" s="97">
        <f t="shared" si="29"/>
        <v>1</v>
      </c>
    </row>
    <row r="338" ht="12.75" customHeight="1">
      <c r="A338" s="65"/>
      <c r="B338" s="66" t="s">
        <v>679</v>
      </c>
      <c r="C338" s="67">
        <v>60000.0</v>
      </c>
      <c r="D338" s="68">
        <v>13.0</v>
      </c>
      <c r="E338" s="67">
        <v>56914.86</v>
      </c>
      <c r="F338" s="68" t="s">
        <v>64</v>
      </c>
      <c r="G338" s="69">
        <v>45162.0</v>
      </c>
      <c r="H338" s="70" t="s">
        <v>57</v>
      </c>
      <c r="I338" s="100">
        <v>45468.0</v>
      </c>
      <c r="J338" s="71">
        <f t="shared" si="99"/>
        <v>10.2</v>
      </c>
      <c r="K338" s="98" t="s">
        <v>680</v>
      </c>
      <c r="L338" s="98">
        <v>67000.0</v>
      </c>
      <c r="M338" s="73">
        <v>190.59</v>
      </c>
      <c r="N338" s="110">
        <v>9441.68</v>
      </c>
      <c r="O338" s="73">
        <v>1589.49</v>
      </c>
      <c r="P338" s="73">
        <f t="shared" si="70"/>
        <v>0</v>
      </c>
      <c r="Q338" s="73">
        <f t="shared" si="71"/>
        <v>1136.62</v>
      </c>
      <c r="R338" s="74">
        <f t="shared" si="72"/>
        <v>0.01997053142</v>
      </c>
      <c r="S338" s="74">
        <f t="shared" si="73"/>
        <v>0.9800294686</v>
      </c>
      <c r="T338" s="75"/>
      <c r="V338" s="76"/>
      <c r="W338" s="77"/>
      <c r="X338" s="77"/>
      <c r="Y338" s="77"/>
      <c r="Z338" s="77"/>
      <c r="AA338" s="77"/>
      <c r="AB338" s="78"/>
      <c r="AC338" s="77"/>
      <c r="AD338" s="79"/>
      <c r="AE338" s="80"/>
      <c r="AF338" s="81"/>
      <c r="AG338" s="79"/>
      <c r="AH338" s="80"/>
      <c r="AI338" s="82"/>
      <c r="AJ338" s="82"/>
      <c r="AK338" s="83"/>
      <c r="AL338" s="84"/>
      <c r="AM338" s="23">
        <v>237.21</v>
      </c>
      <c r="AP338" s="85">
        <f t="shared" si="9"/>
        <v>0</v>
      </c>
      <c r="AQ338" s="20">
        <f t="shared" si="10"/>
        <v>1</v>
      </c>
      <c r="AR338" s="20">
        <f t="shared" si="11"/>
        <v>0</v>
      </c>
      <c r="AS338" s="86">
        <f t="shared" si="12"/>
        <v>0</v>
      </c>
      <c r="AT338" s="87">
        <f t="shared" si="13"/>
        <v>0</v>
      </c>
      <c r="AU338" s="88">
        <f t="shared" si="81"/>
        <v>0</v>
      </c>
      <c r="AV338" s="89" t="str">
        <f t="shared" si="15"/>
        <v>#VALUE!</v>
      </c>
      <c r="AW338" s="90">
        <f t="shared" si="16"/>
        <v>0</v>
      </c>
      <c r="AY338" s="85">
        <f t="shared" si="17"/>
        <v>1</v>
      </c>
      <c r="AZ338" s="20">
        <f t="shared" si="18"/>
        <v>1</v>
      </c>
      <c r="BA338" s="20">
        <f t="shared" si="19"/>
        <v>1</v>
      </c>
      <c r="BB338" s="91">
        <f t="shared" si="20"/>
        <v>11031.17</v>
      </c>
      <c r="BC338" s="87">
        <f t="shared" si="21"/>
        <v>56914.86</v>
      </c>
      <c r="BD338" s="92">
        <f t="shared" si="22"/>
        <v>10.2</v>
      </c>
      <c r="BE338" s="89" t="str">
        <f t="shared" si="23"/>
        <v>#VALUE!</v>
      </c>
      <c r="BF338" s="90" t="str">
        <f t="shared" si="24"/>
        <v>#VALUE!</v>
      </c>
      <c r="BH338" s="93">
        <f t="shared" si="25"/>
        <v>56914.86</v>
      </c>
      <c r="BI338" s="94">
        <f t="shared" si="26"/>
        <v>1</v>
      </c>
      <c r="BJ338" s="95" t="str">
        <f t="shared" si="27"/>
        <v>#VALUE!</v>
      </c>
      <c r="BK338" s="96" t="str">
        <f t="shared" si="28"/>
        <v>#VALUE!</v>
      </c>
      <c r="BM338" s="97">
        <f t="shared" si="29"/>
        <v>1</v>
      </c>
    </row>
    <row r="339" ht="12.75" customHeight="1">
      <c r="A339" s="65"/>
      <c r="B339" s="115" t="s">
        <v>681</v>
      </c>
      <c r="C339" s="67">
        <v>49000.0</v>
      </c>
      <c r="D339" s="68">
        <v>13.0</v>
      </c>
      <c r="E339" s="67">
        <v>45875.35</v>
      </c>
      <c r="F339" s="68" t="s">
        <v>64</v>
      </c>
      <c r="G339" s="69">
        <v>45209.0</v>
      </c>
      <c r="H339" s="70" t="s">
        <v>57</v>
      </c>
      <c r="I339" s="100">
        <v>45442.0</v>
      </c>
      <c r="J339" s="71">
        <f t="shared" si="99"/>
        <v>7.766666667</v>
      </c>
      <c r="K339" s="98" t="s">
        <v>682</v>
      </c>
      <c r="L339" s="98">
        <v>56500.0</v>
      </c>
      <c r="M339" s="73">
        <v>119.0</v>
      </c>
      <c r="N339" s="110">
        <v>7488.692</v>
      </c>
      <c r="O339" s="101">
        <v>3882.74</v>
      </c>
      <c r="P339" s="73">
        <f t="shared" si="70"/>
        <v>0</v>
      </c>
      <c r="Q339" s="73">
        <f t="shared" si="71"/>
        <v>865.782</v>
      </c>
      <c r="R339" s="74">
        <f t="shared" si="72"/>
        <v>0.01887248817</v>
      </c>
      <c r="S339" s="74">
        <f t="shared" si="73"/>
        <v>0.9811275118</v>
      </c>
      <c r="T339" s="75"/>
      <c r="V339" s="76"/>
      <c r="W339" s="77"/>
      <c r="X339" s="77"/>
      <c r="Y339" s="77"/>
      <c r="Z339" s="77"/>
      <c r="AA339" s="77"/>
      <c r="AB339" s="78"/>
      <c r="AC339" s="77"/>
      <c r="AD339" s="79"/>
      <c r="AE339" s="80"/>
      <c r="AF339" s="81"/>
      <c r="AG339" s="79"/>
      <c r="AH339" s="80"/>
      <c r="AI339" s="82"/>
      <c r="AJ339" s="82"/>
      <c r="AK339" s="83"/>
      <c r="AL339" s="84"/>
      <c r="AP339" s="85">
        <f t="shared" si="9"/>
        <v>0</v>
      </c>
      <c r="AQ339" s="20">
        <f t="shared" si="10"/>
        <v>1</v>
      </c>
      <c r="AR339" s="20">
        <f t="shared" si="11"/>
        <v>0</v>
      </c>
      <c r="AS339" s="86">
        <f t="shared" si="12"/>
        <v>0</v>
      </c>
      <c r="AT339" s="87">
        <f t="shared" si="13"/>
        <v>0</v>
      </c>
      <c r="AU339" s="88">
        <f t="shared" si="81"/>
        <v>0</v>
      </c>
      <c r="AV339" s="89" t="str">
        <f t="shared" si="15"/>
        <v>#VALUE!</v>
      </c>
      <c r="AW339" s="90">
        <f t="shared" si="16"/>
        <v>0</v>
      </c>
      <c r="AY339" s="85">
        <f t="shared" si="17"/>
        <v>1</v>
      </c>
      <c r="AZ339" s="20">
        <f t="shared" si="18"/>
        <v>1</v>
      </c>
      <c r="BA339" s="20">
        <f t="shared" si="19"/>
        <v>1</v>
      </c>
      <c r="BB339" s="91">
        <f t="shared" si="20"/>
        <v>11371.432</v>
      </c>
      <c r="BC339" s="87">
        <f t="shared" si="21"/>
        <v>45875.35</v>
      </c>
      <c r="BD339" s="92">
        <f t="shared" si="22"/>
        <v>7.766666667</v>
      </c>
      <c r="BE339" s="89" t="str">
        <f t="shared" si="23"/>
        <v>#VALUE!</v>
      </c>
      <c r="BF339" s="90" t="str">
        <f t="shared" si="24"/>
        <v>#VALUE!</v>
      </c>
      <c r="BH339" s="93">
        <f t="shared" si="25"/>
        <v>45875.35</v>
      </c>
      <c r="BI339" s="94">
        <f t="shared" si="26"/>
        <v>1</v>
      </c>
      <c r="BJ339" s="95" t="str">
        <f t="shared" si="27"/>
        <v>#VALUE!</v>
      </c>
      <c r="BK339" s="96" t="str">
        <f t="shared" si="28"/>
        <v>#VALUE!</v>
      </c>
      <c r="BM339" s="97">
        <f t="shared" si="29"/>
        <v>1</v>
      </c>
    </row>
    <row r="340" ht="12.75" customHeight="1">
      <c r="A340" s="65"/>
      <c r="B340" s="115" t="s">
        <v>683</v>
      </c>
      <c r="C340" s="67">
        <v>39999.0</v>
      </c>
      <c r="D340" s="68">
        <v>13.0</v>
      </c>
      <c r="E340" s="67">
        <v>36614.97</v>
      </c>
      <c r="F340" s="68" t="s">
        <v>64</v>
      </c>
      <c r="G340" s="69">
        <v>45401.0</v>
      </c>
      <c r="H340" s="71" t="s">
        <v>57</v>
      </c>
      <c r="I340" s="69">
        <v>45470.0</v>
      </c>
      <c r="J340" s="71">
        <f t="shared" si="99"/>
        <v>2.3</v>
      </c>
      <c r="K340" s="72" t="s">
        <v>684</v>
      </c>
      <c r="L340" s="72">
        <v>45000.0</v>
      </c>
      <c r="M340" s="73">
        <v>315.47</v>
      </c>
      <c r="N340" s="113">
        <v>7156.37</v>
      </c>
      <c r="O340" s="101">
        <v>1333.77</v>
      </c>
      <c r="P340" s="73">
        <f t="shared" si="70"/>
        <v>0</v>
      </c>
      <c r="Q340" s="73">
        <f t="shared" si="71"/>
        <v>420.58</v>
      </c>
      <c r="R340" s="74">
        <f t="shared" si="72"/>
        <v>0.01148655864</v>
      </c>
      <c r="S340" s="74">
        <f t="shared" si="73"/>
        <v>0.9885134414</v>
      </c>
      <c r="T340" s="75"/>
      <c r="V340" s="76"/>
      <c r="W340" s="77"/>
      <c r="X340" s="77"/>
      <c r="Y340" s="77"/>
      <c r="Z340" s="77"/>
      <c r="AA340" s="77"/>
      <c r="AB340" s="78"/>
      <c r="AC340" s="77"/>
      <c r="AD340" s="79"/>
      <c r="AE340" s="80"/>
      <c r="AF340" s="81"/>
      <c r="AG340" s="79"/>
      <c r="AH340" s="80"/>
      <c r="AI340" s="82"/>
      <c r="AJ340" s="82"/>
      <c r="AK340" s="83"/>
      <c r="AL340" s="84"/>
      <c r="AP340" s="85">
        <f t="shared" si="9"/>
        <v>0</v>
      </c>
      <c r="AQ340" s="20">
        <f t="shared" si="10"/>
        <v>1</v>
      </c>
      <c r="AR340" s="20">
        <f t="shared" si="11"/>
        <v>0</v>
      </c>
      <c r="AS340" s="86">
        <f t="shared" si="12"/>
        <v>0</v>
      </c>
      <c r="AT340" s="87">
        <f t="shared" si="13"/>
        <v>0</v>
      </c>
      <c r="AU340" s="88">
        <f t="shared" si="81"/>
        <v>0</v>
      </c>
      <c r="AV340" s="89" t="str">
        <f t="shared" si="15"/>
        <v>#VALUE!</v>
      </c>
      <c r="AW340" s="90">
        <f t="shared" si="16"/>
        <v>0</v>
      </c>
      <c r="AY340" s="85">
        <f t="shared" si="17"/>
        <v>1</v>
      </c>
      <c r="AZ340" s="20">
        <f t="shared" si="18"/>
        <v>1</v>
      </c>
      <c r="BA340" s="20">
        <f t="shared" si="19"/>
        <v>1</v>
      </c>
      <c r="BB340" s="91">
        <f t="shared" si="20"/>
        <v>8490.14</v>
      </c>
      <c r="BC340" s="87">
        <f t="shared" si="21"/>
        <v>36614.97</v>
      </c>
      <c r="BD340" s="92">
        <f t="shared" si="22"/>
        <v>2.3</v>
      </c>
      <c r="BE340" s="89" t="str">
        <f t="shared" si="23"/>
        <v>#VALUE!</v>
      </c>
      <c r="BF340" s="90" t="str">
        <f t="shared" si="24"/>
        <v>#VALUE!</v>
      </c>
      <c r="BH340" s="93">
        <f t="shared" si="25"/>
        <v>36614.97</v>
      </c>
      <c r="BI340" s="94">
        <f t="shared" si="26"/>
        <v>1</v>
      </c>
      <c r="BJ340" s="95" t="str">
        <f t="shared" si="27"/>
        <v>#VALUE!</v>
      </c>
      <c r="BK340" s="96" t="str">
        <f t="shared" si="28"/>
        <v>#VALUE!</v>
      </c>
      <c r="BM340" s="97">
        <f t="shared" si="29"/>
        <v>1</v>
      </c>
    </row>
    <row r="341" ht="12.75" customHeight="1">
      <c r="A341" s="65"/>
      <c r="B341" s="115" t="s">
        <v>685</v>
      </c>
      <c r="C341" s="106">
        <v>56437.2</v>
      </c>
      <c r="D341" s="68">
        <v>13.0</v>
      </c>
      <c r="E341" s="106">
        <v>45731.08</v>
      </c>
      <c r="F341" s="99" t="s">
        <v>64</v>
      </c>
      <c r="G341" s="100">
        <v>45406.0</v>
      </c>
      <c r="H341" s="70" t="s">
        <v>57</v>
      </c>
      <c r="I341" s="100">
        <v>45562.0</v>
      </c>
      <c r="J341" s="71">
        <f t="shared" si="99"/>
        <v>5.2</v>
      </c>
      <c r="K341" s="98" t="s">
        <v>686</v>
      </c>
      <c r="L341" s="98">
        <v>60000.0</v>
      </c>
      <c r="M341" s="73">
        <v>1117.1100000000001</v>
      </c>
      <c r="N341" s="113">
        <v>8310.66</v>
      </c>
      <c r="O341" s="101">
        <v>65.0</v>
      </c>
      <c r="P341" s="73">
        <f t="shared" si="70"/>
        <v>0</v>
      </c>
      <c r="Q341" s="73">
        <f t="shared" si="71"/>
        <v>0</v>
      </c>
      <c r="R341" s="74">
        <f t="shared" si="72"/>
        <v>0</v>
      </c>
      <c r="S341" s="74">
        <f t="shared" si="73"/>
        <v>1</v>
      </c>
      <c r="T341" s="75"/>
      <c r="V341" s="76"/>
      <c r="W341" s="77"/>
      <c r="X341" s="77"/>
      <c r="Y341" s="77"/>
      <c r="Z341" s="77"/>
      <c r="AA341" s="77"/>
      <c r="AB341" s="78"/>
      <c r="AC341" s="77"/>
      <c r="AD341" s="79"/>
      <c r="AE341" s="80"/>
      <c r="AF341" s="81"/>
      <c r="AG341" s="79"/>
      <c r="AH341" s="80"/>
      <c r="AI341" s="82"/>
      <c r="AJ341" s="82"/>
      <c r="AK341" s="83"/>
      <c r="AL341" s="84"/>
      <c r="AP341" s="85">
        <f t="shared" si="9"/>
        <v>0</v>
      </c>
      <c r="AQ341" s="20">
        <f t="shared" si="10"/>
        <v>1</v>
      </c>
      <c r="AR341" s="20">
        <f t="shared" si="11"/>
        <v>0</v>
      </c>
      <c r="AS341" s="86">
        <f t="shared" si="12"/>
        <v>0</v>
      </c>
      <c r="AT341" s="87">
        <f t="shared" si="13"/>
        <v>0</v>
      </c>
      <c r="AU341" s="88">
        <f t="shared" si="81"/>
        <v>0</v>
      </c>
      <c r="AV341" s="89" t="str">
        <f t="shared" si="15"/>
        <v>#VALUE!</v>
      </c>
      <c r="AW341" s="90">
        <f t="shared" si="16"/>
        <v>0</v>
      </c>
      <c r="AY341" s="85">
        <f t="shared" si="17"/>
        <v>1</v>
      </c>
      <c r="AZ341" s="20">
        <f t="shared" si="18"/>
        <v>1</v>
      </c>
      <c r="BA341" s="20">
        <f t="shared" si="19"/>
        <v>1</v>
      </c>
      <c r="BB341" s="91">
        <f t="shared" si="20"/>
        <v>8375.66</v>
      </c>
      <c r="BC341" s="87">
        <f t="shared" si="21"/>
        <v>45731.08</v>
      </c>
      <c r="BD341" s="92">
        <f t="shared" si="22"/>
        <v>5.2</v>
      </c>
      <c r="BE341" s="89" t="str">
        <f t="shared" si="23"/>
        <v>#VALUE!</v>
      </c>
      <c r="BF341" s="90" t="str">
        <f t="shared" si="24"/>
        <v>#VALUE!</v>
      </c>
      <c r="BH341" s="93">
        <f t="shared" si="25"/>
        <v>45731.08</v>
      </c>
      <c r="BI341" s="94">
        <f t="shared" si="26"/>
        <v>1</v>
      </c>
      <c r="BJ341" s="95" t="str">
        <f t="shared" si="27"/>
        <v>#VALUE!</v>
      </c>
      <c r="BK341" s="96" t="str">
        <f t="shared" si="28"/>
        <v>#VALUE!</v>
      </c>
      <c r="BM341" s="97">
        <f t="shared" si="29"/>
        <v>1</v>
      </c>
    </row>
    <row r="342" ht="12.75" customHeight="1">
      <c r="A342" s="65"/>
      <c r="B342" s="115" t="s">
        <v>687</v>
      </c>
      <c r="C342" s="106">
        <v>33000.0</v>
      </c>
      <c r="D342" s="68">
        <v>13.0</v>
      </c>
      <c r="E342" s="106">
        <v>29637.28</v>
      </c>
      <c r="F342" s="68" t="s">
        <v>56</v>
      </c>
      <c r="G342" s="100">
        <v>45386.0</v>
      </c>
      <c r="H342" s="70" t="s">
        <v>57</v>
      </c>
      <c r="I342" s="100">
        <v>45533.0</v>
      </c>
      <c r="J342" s="71">
        <f t="shared" si="99"/>
        <v>4.9</v>
      </c>
      <c r="K342" s="98" t="s">
        <v>688</v>
      </c>
      <c r="L342" s="98">
        <v>45000.0</v>
      </c>
      <c r="M342" s="101">
        <v>4935.14</v>
      </c>
      <c r="N342" s="113">
        <v>6603.53</v>
      </c>
      <c r="O342" s="101">
        <v>1716.85</v>
      </c>
      <c r="P342" s="73">
        <f t="shared" si="70"/>
        <v>0</v>
      </c>
      <c r="Q342" s="73">
        <f t="shared" si="71"/>
        <v>0</v>
      </c>
      <c r="R342" s="74">
        <f t="shared" si="72"/>
        <v>0</v>
      </c>
      <c r="S342" s="74">
        <f t="shared" si="73"/>
        <v>1</v>
      </c>
      <c r="T342" s="75"/>
      <c r="V342" s="76"/>
      <c r="W342" s="77"/>
      <c r="X342" s="77"/>
      <c r="Y342" s="77"/>
      <c r="Z342" s="77"/>
      <c r="AA342" s="77"/>
      <c r="AB342" s="78"/>
      <c r="AC342" s="77"/>
      <c r="AD342" s="79"/>
      <c r="AE342" s="80"/>
      <c r="AF342" s="81"/>
      <c r="AG342" s="79"/>
      <c r="AH342" s="80"/>
      <c r="AI342" s="82"/>
      <c r="AJ342" s="82"/>
      <c r="AK342" s="83"/>
      <c r="AL342" s="84"/>
      <c r="AP342" s="85">
        <f t="shared" si="9"/>
        <v>1</v>
      </c>
      <c r="AQ342" s="20">
        <f t="shared" si="10"/>
        <v>1</v>
      </c>
      <c r="AR342" s="20">
        <f t="shared" si="11"/>
        <v>1</v>
      </c>
      <c r="AS342" s="86">
        <f t="shared" si="12"/>
        <v>8320.38</v>
      </c>
      <c r="AT342" s="87">
        <f t="shared" si="13"/>
        <v>29637.28</v>
      </c>
      <c r="AU342" s="88">
        <f t="shared" si="81"/>
        <v>4.9</v>
      </c>
      <c r="AV342" s="89" t="str">
        <f t="shared" si="15"/>
        <v>#VALUE!</v>
      </c>
      <c r="AW342" s="90" t="str">
        <f t="shared" si="16"/>
        <v>#VALUE!</v>
      </c>
      <c r="AY342" s="85">
        <f t="shared" si="17"/>
        <v>0</v>
      </c>
      <c r="AZ342" s="20">
        <f t="shared" si="18"/>
        <v>1</v>
      </c>
      <c r="BA342" s="20">
        <f t="shared" si="19"/>
        <v>0</v>
      </c>
      <c r="BB342" s="91">
        <f t="shared" si="20"/>
        <v>0</v>
      </c>
      <c r="BC342" s="87">
        <f t="shared" si="21"/>
        <v>0</v>
      </c>
      <c r="BD342" s="92">
        <f t="shared" si="22"/>
        <v>0</v>
      </c>
      <c r="BE342" s="89" t="str">
        <f t="shared" si="23"/>
        <v>#VALUE!</v>
      </c>
      <c r="BF342" s="90">
        <f t="shared" si="24"/>
        <v>0</v>
      </c>
      <c r="BH342" s="93">
        <f t="shared" si="25"/>
        <v>29637.28</v>
      </c>
      <c r="BI342" s="94">
        <f t="shared" si="26"/>
        <v>1</v>
      </c>
      <c r="BJ342" s="95" t="str">
        <f t="shared" si="27"/>
        <v>#VALUE!</v>
      </c>
      <c r="BK342" s="96" t="str">
        <f t="shared" si="28"/>
        <v>#VALUE!</v>
      </c>
      <c r="BM342" s="97">
        <f t="shared" si="29"/>
        <v>1</v>
      </c>
    </row>
    <row r="343" ht="12.75" customHeight="1">
      <c r="A343" s="65"/>
      <c r="B343" s="115" t="s">
        <v>689</v>
      </c>
      <c r="C343" s="106">
        <v>80425.0</v>
      </c>
      <c r="D343" s="68">
        <v>13.0</v>
      </c>
      <c r="E343" s="106">
        <v>73533.69</v>
      </c>
      <c r="F343" s="68" t="s">
        <v>56</v>
      </c>
      <c r="G343" s="100">
        <v>45386.0</v>
      </c>
      <c r="H343" s="70" t="s">
        <v>57</v>
      </c>
      <c r="I343" s="100">
        <v>45797.0</v>
      </c>
      <c r="J343" s="71">
        <f t="shared" si="99"/>
        <v>13.7</v>
      </c>
      <c r="K343" s="98" t="s">
        <v>690</v>
      </c>
      <c r="L343" s="72">
        <f>73533.69+6466.31</f>
        <v>80000</v>
      </c>
      <c r="M343" s="101">
        <v>2699.91</v>
      </c>
      <c r="N343" s="101">
        <v>12818.33</v>
      </c>
      <c r="O343" s="101">
        <v>318.9</v>
      </c>
      <c r="P343" s="73">
        <f t="shared" si="70"/>
        <v>0</v>
      </c>
      <c r="Q343" s="73">
        <f t="shared" si="71"/>
        <v>9370.83</v>
      </c>
      <c r="R343" s="74">
        <f t="shared" si="72"/>
        <v>0.1274358733</v>
      </c>
      <c r="S343" s="74">
        <f t="shared" si="73"/>
        <v>0.8725641267</v>
      </c>
      <c r="T343" s="75"/>
      <c r="V343" s="76"/>
      <c r="W343" s="77"/>
      <c r="X343" s="77"/>
      <c r="Y343" s="77"/>
      <c r="Z343" s="77"/>
      <c r="AA343" s="77"/>
      <c r="AB343" s="78"/>
      <c r="AC343" s="77"/>
      <c r="AD343" s="79"/>
      <c r="AE343" s="80"/>
      <c r="AF343" s="81"/>
      <c r="AG343" s="79"/>
      <c r="AH343" s="80"/>
      <c r="AI343" s="82"/>
      <c r="AJ343" s="82"/>
      <c r="AK343" s="83"/>
      <c r="AL343" s="84"/>
      <c r="AP343" s="85">
        <f t="shared" si="9"/>
        <v>1</v>
      </c>
      <c r="AQ343" s="20">
        <f t="shared" si="10"/>
        <v>1</v>
      </c>
      <c r="AR343" s="20">
        <f t="shared" si="11"/>
        <v>1</v>
      </c>
      <c r="AS343" s="86">
        <f t="shared" si="12"/>
        <v>13137.23</v>
      </c>
      <c r="AT343" s="87">
        <f t="shared" si="13"/>
        <v>73533.69</v>
      </c>
      <c r="AU343" s="88">
        <f t="shared" si="81"/>
        <v>13.7</v>
      </c>
      <c r="AV343" s="89" t="str">
        <f t="shared" si="15"/>
        <v>#VALUE!</v>
      </c>
      <c r="AW343" s="90" t="str">
        <f t="shared" si="16"/>
        <v>#VALUE!</v>
      </c>
      <c r="AY343" s="85">
        <f t="shared" si="17"/>
        <v>0</v>
      </c>
      <c r="AZ343" s="20">
        <f t="shared" si="18"/>
        <v>1</v>
      </c>
      <c r="BA343" s="20">
        <f t="shared" si="19"/>
        <v>0</v>
      </c>
      <c r="BB343" s="91">
        <f t="shared" si="20"/>
        <v>0</v>
      </c>
      <c r="BC343" s="87">
        <f t="shared" si="21"/>
        <v>0</v>
      </c>
      <c r="BD343" s="92">
        <f t="shared" si="22"/>
        <v>0</v>
      </c>
      <c r="BE343" s="89" t="str">
        <f t="shared" si="23"/>
        <v>#VALUE!</v>
      </c>
      <c r="BF343" s="90">
        <f t="shared" si="24"/>
        <v>0</v>
      </c>
      <c r="BH343" s="93">
        <f t="shared" si="25"/>
        <v>73533.69</v>
      </c>
      <c r="BI343" s="94">
        <f t="shared" si="26"/>
        <v>1</v>
      </c>
      <c r="BJ343" s="95" t="str">
        <f t="shared" si="27"/>
        <v>#VALUE!</v>
      </c>
      <c r="BK343" s="96" t="str">
        <f t="shared" si="28"/>
        <v>#VALUE!</v>
      </c>
      <c r="BM343" s="97">
        <f t="shared" si="29"/>
        <v>1</v>
      </c>
    </row>
    <row r="344" ht="12.75" customHeight="1">
      <c r="A344" s="65"/>
      <c r="B344" s="115" t="s">
        <v>691</v>
      </c>
      <c r="C344" s="67">
        <v>28500.0</v>
      </c>
      <c r="D344" s="68">
        <v>13.0</v>
      </c>
      <c r="E344" s="106">
        <v>16565.73</v>
      </c>
      <c r="F344" s="68" t="s">
        <v>56</v>
      </c>
      <c r="G344" s="100">
        <v>45398.0</v>
      </c>
      <c r="H344" s="70" t="s">
        <v>57</v>
      </c>
      <c r="I344" s="100">
        <v>45776.0</v>
      </c>
      <c r="J344" s="71">
        <f t="shared" si="99"/>
        <v>12.6</v>
      </c>
      <c r="K344" s="98" t="s">
        <v>692</v>
      </c>
      <c r="L344" s="98">
        <v>57000.0</v>
      </c>
      <c r="M344" s="101">
        <v>606.28</v>
      </c>
      <c r="N344" s="101">
        <v>7688.4</v>
      </c>
      <c r="O344" s="101">
        <v>0.0</v>
      </c>
      <c r="P344" s="73">
        <f t="shared" si="70"/>
        <v>0</v>
      </c>
      <c r="Q344" s="73">
        <f t="shared" si="71"/>
        <v>0</v>
      </c>
      <c r="R344" s="74">
        <f t="shared" si="72"/>
        <v>0</v>
      </c>
      <c r="S344" s="74">
        <f t="shared" si="73"/>
        <v>1</v>
      </c>
      <c r="T344" s="75"/>
      <c r="V344" s="76"/>
      <c r="W344" s="77"/>
      <c r="X344" s="77"/>
      <c r="Y344" s="77"/>
      <c r="Z344" s="77"/>
      <c r="AA344" s="77"/>
      <c r="AB344" s="78"/>
      <c r="AC344" s="77"/>
      <c r="AD344" s="79"/>
      <c r="AE344" s="80"/>
      <c r="AF344" s="81"/>
      <c r="AG344" s="79"/>
      <c r="AH344" s="80"/>
      <c r="AI344" s="82"/>
      <c r="AJ344" s="82"/>
      <c r="AK344" s="83"/>
      <c r="AL344" s="84"/>
      <c r="AP344" s="85">
        <f t="shared" si="9"/>
        <v>1</v>
      </c>
      <c r="AQ344" s="20">
        <f t="shared" si="10"/>
        <v>1</v>
      </c>
      <c r="AR344" s="20">
        <f t="shared" si="11"/>
        <v>1</v>
      </c>
      <c r="AS344" s="86">
        <f t="shared" si="12"/>
        <v>7688.4</v>
      </c>
      <c r="AT344" s="87">
        <f t="shared" si="13"/>
        <v>16565.73</v>
      </c>
      <c r="AU344" s="88">
        <f t="shared" si="81"/>
        <v>12.6</v>
      </c>
      <c r="AV344" s="89" t="str">
        <f t="shared" si="15"/>
        <v>#VALUE!</v>
      </c>
      <c r="AW344" s="90" t="str">
        <f t="shared" si="16"/>
        <v>#VALUE!</v>
      </c>
      <c r="AY344" s="85">
        <f t="shared" si="17"/>
        <v>0</v>
      </c>
      <c r="AZ344" s="20">
        <f t="shared" si="18"/>
        <v>1</v>
      </c>
      <c r="BA344" s="20">
        <f t="shared" si="19"/>
        <v>0</v>
      </c>
      <c r="BB344" s="91">
        <f t="shared" si="20"/>
        <v>0</v>
      </c>
      <c r="BC344" s="87">
        <f t="shared" si="21"/>
        <v>0</v>
      </c>
      <c r="BD344" s="92">
        <f t="shared" si="22"/>
        <v>0</v>
      </c>
      <c r="BE344" s="89" t="str">
        <f t="shared" si="23"/>
        <v>#VALUE!</v>
      </c>
      <c r="BF344" s="90">
        <f t="shared" si="24"/>
        <v>0</v>
      </c>
      <c r="BH344" s="93">
        <f t="shared" si="25"/>
        <v>16565.73</v>
      </c>
      <c r="BI344" s="94">
        <f t="shared" si="26"/>
        <v>1</v>
      </c>
      <c r="BJ344" s="95" t="str">
        <f t="shared" si="27"/>
        <v>#VALUE!</v>
      </c>
      <c r="BK344" s="96" t="str">
        <f t="shared" si="28"/>
        <v>#VALUE!</v>
      </c>
      <c r="BM344" s="97">
        <f t="shared" si="29"/>
        <v>1</v>
      </c>
    </row>
    <row r="345" ht="12.75" customHeight="1">
      <c r="A345" s="65"/>
      <c r="B345" s="115" t="s">
        <v>693</v>
      </c>
      <c r="C345" s="106">
        <v>40000.0</v>
      </c>
      <c r="D345" s="68">
        <v>13.0</v>
      </c>
      <c r="E345" s="106">
        <v>29107.23</v>
      </c>
      <c r="F345" s="68" t="s">
        <v>56</v>
      </c>
      <c r="G345" s="100">
        <v>45421.0</v>
      </c>
      <c r="H345" s="70" t="s">
        <v>57</v>
      </c>
      <c r="I345" s="100">
        <v>45534.0</v>
      </c>
      <c r="J345" s="71">
        <f t="shared" si="99"/>
        <v>3.766666667</v>
      </c>
      <c r="K345" s="98" t="s">
        <v>694</v>
      </c>
      <c r="L345" s="98">
        <v>46000.0</v>
      </c>
      <c r="M345" s="73">
        <v>1538.76</v>
      </c>
      <c r="N345" s="113">
        <v>5774.37</v>
      </c>
      <c r="O345" s="101">
        <v>1526.23</v>
      </c>
      <c r="P345" s="73">
        <f t="shared" si="70"/>
        <v>0</v>
      </c>
      <c r="Q345" s="73">
        <f t="shared" si="71"/>
        <v>0</v>
      </c>
      <c r="R345" s="74">
        <f t="shared" si="72"/>
        <v>0</v>
      </c>
      <c r="S345" s="74">
        <f t="shared" si="73"/>
        <v>1</v>
      </c>
      <c r="T345" s="75"/>
      <c r="V345" s="76"/>
      <c r="W345" s="77"/>
      <c r="X345" s="77"/>
      <c r="Y345" s="77"/>
      <c r="Z345" s="77"/>
      <c r="AA345" s="77"/>
      <c r="AB345" s="78"/>
      <c r="AC345" s="77"/>
      <c r="AD345" s="79"/>
      <c r="AE345" s="80"/>
      <c r="AF345" s="81"/>
      <c r="AG345" s="79"/>
      <c r="AH345" s="80"/>
      <c r="AI345" s="82"/>
      <c r="AJ345" s="82"/>
      <c r="AK345" s="83"/>
      <c r="AL345" s="84"/>
      <c r="AP345" s="85">
        <f t="shared" si="9"/>
        <v>1</v>
      </c>
      <c r="AQ345" s="20">
        <f t="shared" si="10"/>
        <v>1</v>
      </c>
      <c r="AR345" s="20">
        <f t="shared" si="11"/>
        <v>1</v>
      </c>
      <c r="AS345" s="86">
        <f t="shared" si="12"/>
        <v>7300.6</v>
      </c>
      <c r="AT345" s="87">
        <f t="shared" si="13"/>
        <v>29107.23</v>
      </c>
      <c r="AU345" s="88">
        <f t="shared" si="81"/>
        <v>3.766666667</v>
      </c>
      <c r="AV345" s="89" t="str">
        <f t="shared" si="15"/>
        <v>#VALUE!</v>
      </c>
      <c r="AW345" s="90" t="str">
        <f t="shared" si="16"/>
        <v>#VALUE!</v>
      </c>
      <c r="AY345" s="85">
        <f t="shared" si="17"/>
        <v>0</v>
      </c>
      <c r="AZ345" s="20">
        <f t="shared" si="18"/>
        <v>1</v>
      </c>
      <c r="BA345" s="20">
        <f t="shared" si="19"/>
        <v>0</v>
      </c>
      <c r="BB345" s="91">
        <f t="shared" si="20"/>
        <v>0</v>
      </c>
      <c r="BC345" s="87">
        <f t="shared" si="21"/>
        <v>0</v>
      </c>
      <c r="BD345" s="92">
        <f t="shared" si="22"/>
        <v>0</v>
      </c>
      <c r="BE345" s="89" t="str">
        <f t="shared" si="23"/>
        <v>#VALUE!</v>
      </c>
      <c r="BF345" s="90">
        <f t="shared" si="24"/>
        <v>0</v>
      </c>
      <c r="BH345" s="93">
        <f t="shared" si="25"/>
        <v>29107.23</v>
      </c>
      <c r="BI345" s="94">
        <f t="shared" si="26"/>
        <v>1</v>
      </c>
      <c r="BJ345" s="95" t="str">
        <f t="shared" si="27"/>
        <v>#VALUE!</v>
      </c>
      <c r="BK345" s="96" t="str">
        <f t="shared" si="28"/>
        <v>#VALUE!</v>
      </c>
      <c r="BM345" s="97">
        <f t="shared" si="29"/>
        <v>1</v>
      </c>
    </row>
    <row r="346" ht="12.75" customHeight="1">
      <c r="A346" s="65"/>
      <c r="B346" s="115" t="s">
        <v>695</v>
      </c>
      <c r="C346" s="67">
        <v>50000.0</v>
      </c>
      <c r="D346" s="68">
        <v>13.0</v>
      </c>
      <c r="E346" s="67">
        <v>37310.37</v>
      </c>
      <c r="F346" s="68" t="s">
        <v>56</v>
      </c>
      <c r="G346" s="69">
        <v>45432.0</v>
      </c>
      <c r="H346" s="71" t="s">
        <v>57</v>
      </c>
      <c r="I346" s="69">
        <v>45462.0</v>
      </c>
      <c r="J346" s="71">
        <f t="shared" si="99"/>
        <v>1</v>
      </c>
      <c r="K346" s="72" t="s">
        <v>696</v>
      </c>
      <c r="L346" s="72">
        <v>50000.0</v>
      </c>
      <c r="M346" s="73">
        <v>1837.83</v>
      </c>
      <c r="N346" s="113">
        <v>7464.419999999999</v>
      </c>
      <c r="O346" s="73">
        <v>1913.38</v>
      </c>
      <c r="P346" s="73">
        <f t="shared" si="70"/>
        <v>0</v>
      </c>
      <c r="Q346" s="73">
        <f t="shared" si="71"/>
        <v>0</v>
      </c>
      <c r="R346" s="74">
        <f t="shared" si="72"/>
        <v>0</v>
      </c>
      <c r="S346" s="74">
        <f t="shared" si="73"/>
        <v>1</v>
      </c>
      <c r="T346" s="75"/>
      <c r="V346" s="76"/>
      <c r="W346" s="77"/>
      <c r="X346" s="77"/>
      <c r="Y346" s="77"/>
      <c r="Z346" s="77"/>
      <c r="AA346" s="77"/>
      <c r="AB346" s="78"/>
      <c r="AC346" s="77"/>
      <c r="AD346" s="79"/>
      <c r="AE346" s="80"/>
      <c r="AF346" s="81"/>
      <c r="AG346" s="79"/>
      <c r="AH346" s="80"/>
      <c r="AI346" s="82"/>
      <c r="AJ346" s="82"/>
      <c r="AK346" s="83"/>
      <c r="AL346" s="84"/>
      <c r="AP346" s="85">
        <f t="shared" si="9"/>
        <v>1</v>
      </c>
      <c r="AQ346" s="20">
        <f t="shared" si="10"/>
        <v>1</v>
      </c>
      <c r="AR346" s="20">
        <f t="shared" si="11"/>
        <v>1</v>
      </c>
      <c r="AS346" s="86">
        <f t="shared" si="12"/>
        <v>9377.8</v>
      </c>
      <c r="AT346" s="87">
        <f t="shared" si="13"/>
        <v>37310.37</v>
      </c>
      <c r="AU346" s="88">
        <f t="shared" si="81"/>
        <v>1</v>
      </c>
      <c r="AV346" s="89" t="str">
        <f t="shared" si="15"/>
        <v>#VALUE!</v>
      </c>
      <c r="AW346" s="90" t="str">
        <f t="shared" si="16"/>
        <v>#VALUE!</v>
      </c>
      <c r="AY346" s="85">
        <f t="shared" si="17"/>
        <v>0</v>
      </c>
      <c r="AZ346" s="20">
        <f t="shared" si="18"/>
        <v>1</v>
      </c>
      <c r="BA346" s="20">
        <f t="shared" si="19"/>
        <v>0</v>
      </c>
      <c r="BB346" s="91">
        <f t="shared" si="20"/>
        <v>0</v>
      </c>
      <c r="BC346" s="87">
        <f t="shared" si="21"/>
        <v>0</v>
      </c>
      <c r="BD346" s="92">
        <f t="shared" si="22"/>
        <v>0</v>
      </c>
      <c r="BE346" s="89" t="str">
        <f t="shared" si="23"/>
        <v>#VALUE!</v>
      </c>
      <c r="BF346" s="90">
        <f t="shared" si="24"/>
        <v>0</v>
      </c>
      <c r="BH346" s="93">
        <f t="shared" si="25"/>
        <v>37310.37</v>
      </c>
      <c r="BI346" s="94">
        <f t="shared" si="26"/>
        <v>1</v>
      </c>
      <c r="BJ346" s="95" t="str">
        <f t="shared" si="27"/>
        <v>#VALUE!</v>
      </c>
      <c r="BK346" s="96" t="str">
        <f t="shared" si="28"/>
        <v>#VALUE!</v>
      </c>
      <c r="BM346" s="97">
        <f t="shared" si="29"/>
        <v>1</v>
      </c>
    </row>
    <row r="347" ht="12.75" customHeight="1">
      <c r="A347" s="65"/>
      <c r="B347" s="115" t="s">
        <v>697</v>
      </c>
      <c r="C347" s="106">
        <v>40000.0</v>
      </c>
      <c r="D347" s="68">
        <v>13.0</v>
      </c>
      <c r="E347" s="106">
        <v>32682.31</v>
      </c>
      <c r="F347" s="68" t="s">
        <v>64</v>
      </c>
      <c r="G347" s="100">
        <v>45441.0</v>
      </c>
      <c r="H347" s="70" t="s">
        <v>57</v>
      </c>
      <c r="I347" s="100">
        <v>45623.0</v>
      </c>
      <c r="J347" s="71">
        <f t="shared" si="99"/>
        <v>6.066666667</v>
      </c>
      <c r="K347" s="98" t="s">
        <v>698</v>
      </c>
      <c r="L347" s="98">
        <v>44950.0</v>
      </c>
      <c r="M347" s="73">
        <v>509.29</v>
      </c>
      <c r="N347" s="73">
        <v>6857.219999999999</v>
      </c>
      <c r="O347" s="101">
        <v>2821.37</v>
      </c>
      <c r="P347" s="73">
        <f t="shared" si="70"/>
        <v>0</v>
      </c>
      <c r="Q347" s="73">
        <f t="shared" si="71"/>
        <v>0</v>
      </c>
      <c r="R347" s="74">
        <f t="shared" si="72"/>
        <v>0</v>
      </c>
      <c r="S347" s="74">
        <f t="shared" si="73"/>
        <v>1</v>
      </c>
      <c r="T347" s="75"/>
      <c r="V347" s="76"/>
      <c r="W347" s="77"/>
      <c r="X347" s="77"/>
      <c r="Y347" s="77"/>
      <c r="Z347" s="77"/>
      <c r="AA347" s="77"/>
      <c r="AB347" s="78"/>
      <c r="AC347" s="77"/>
      <c r="AD347" s="79"/>
      <c r="AE347" s="80"/>
      <c r="AF347" s="81"/>
      <c r="AG347" s="79"/>
      <c r="AH347" s="80"/>
      <c r="AI347" s="82"/>
      <c r="AJ347" s="82"/>
      <c r="AK347" s="83"/>
      <c r="AL347" s="84"/>
      <c r="AP347" s="85">
        <f t="shared" si="9"/>
        <v>0</v>
      </c>
      <c r="AQ347" s="20">
        <f t="shared" si="10"/>
        <v>1</v>
      </c>
      <c r="AR347" s="20">
        <f t="shared" si="11"/>
        <v>0</v>
      </c>
      <c r="AS347" s="86">
        <f t="shared" si="12"/>
        <v>0</v>
      </c>
      <c r="AT347" s="87">
        <f t="shared" si="13"/>
        <v>0</v>
      </c>
      <c r="AU347" s="88">
        <f t="shared" si="81"/>
        <v>0</v>
      </c>
      <c r="AV347" s="89" t="str">
        <f t="shared" si="15"/>
        <v>#VALUE!</v>
      </c>
      <c r="AW347" s="90">
        <f t="shared" si="16"/>
        <v>0</v>
      </c>
      <c r="AY347" s="85">
        <f t="shared" si="17"/>
        <v>1</v>
      </c>
      <c r="AZ347" s="20">
        <f t="shared" si="18"/>
        <v>1</v>
      </c>
      <c r="BA347" s="20">
        <f t="shared" si="19"/>
        <v>1</v>
      </c>
      <c r="BB347" s="91">
        <f t="shared" si="20"/>
        <v>9678.59</v>
      </c>
      <c r="BC347" s="87">
        <f t="shared" si="21"/>
        <v>32682.31</v>
      </c>
      <c r="BD347" s="92">
        <f t="shared" si="22"/>
        <v>6.066666667</v>
      </c>
      <c r="BE347" s="89" t="str">
        <f t="shared" si="23"/>
        <v>#VALUE!</v>
      </c>
      <c r="BF347" s="90" t="str">
        <f t="shared" si="24"/>
        <v>#VALUE!</v>
      </c>
      <c r="BH347" s="93">
        <f t="shared" si="25"/>
        <v>32682.31</v>
      </c>
      <c r="BI347" s="94">
        <f t="shared" si="26"/>
        <v>1</v>
      </c>
      <c r="BJ347" s="95" t="str">
        <f t="shared" si="27"/>
        <v>#VALUE!</v>
      </c>
      <c r="BK347" s="96" t="str">
        <f t="shared" si="28"/>
        <v>#VALUE!</v>
      </c>
      <c r="BM347" s="97">
        <f t="shared" si="29"/>
        <v>1</v>
      </c>
    </row>
    <row r="348" ht="12.75" customHeight="1">
      <c r="A348" s="65"/>
      <c r="B348" s="115" t="s">
        <v>699</v>
      </c>
      <c r="C348" s="106">
        <v>50000.0</v>
      </c>
      <c r="D348" s="68">
        <v>13.0</v>
      </c>
      <c r="E348" s="106">
        <v>39612.3</v>
      </c>
      <c r="F348" s="68" t="s">
        <v>64</v>
      </c>
      <c r="G348" s="100">
        <v>45385.0</v>
      </c>
      <c r="H348" s="70" t="s">
        <v>57</v>
      </c>
      <c r="I348" s="100">
        <v>45623.0</v>
      </c>
      <c r="J348" s="71">
        <f t="shared" si="99"/>
        <v>7.933333333</v>
      </c>
      <c r="K348" s="98" t="s">
        <v>700</v>
      </c>
      <c r="L348" s="98">
        <v>50000.0</v>
      </c>
      <c r="M348" s="73">
        <v>1248.47</v>
      </c>
      <c r="N348" s="73">
        <v>11532.180000000002</v>
      </c>
      <c r="O348" s="101">
        <v>1791.0</v>
      </c>
      <c r="P348" s="73">
        <f t="shared" si="70"/>
        <v>0</v>
      </c>
      <c r="Q348" s="73">
        <f t="shared" si="71"/>
        <v>4183.95</v>
      </c>
      <c r="R348" s="74">
        <f t="shared" si="72"/>
        <v>0.105622496</v>
      </c>
      <c r="S348" s="74">
        <f t="shared" si="73"/>
        <v>0.894377504</v>
      </c>
      <c r="T348" s="75"/>
      <c r="V348" s="76"/>
      <c r="W348" s="77"/>
      <c r="X348" s="77"/>
      <c r="Y348" s="77"/>
      <c r="Z348" s="77"/>
      <c r="AA348" s="77"/>
      <c r="AB348" s="78"/>
      <c r="AC348" s="77"/>
      <c r="AD348" s="79"/>
      <c r="AE348" s="80"/>
      <c r="AF348" s="81"/>
      <c r="AG348" s="79"/>
      <c r="AH348" s="80"/>
      <c r="AI348" s="82"/>
      <c r="AJ348" s="82"/>
      <c r="AK348" s="83"/>
      <c r="AL348" s="84"/>
      <c r="AP348" s="85">
        <f t="shared" si="9"/>
        <v>0</v>
      </c>
      <c r="AQ348" s="20">
        <f t="shared" si="10"/>
        <v>1</v>
      </c>
      <c r="AR348" s="20">
        <f t="shared" si="11"/>
        <v>0</v>
      </c>
      <c r="AS348" s="86">
        <f t="shared" si="12"/>
        <v>0</v>
      </c>
      <c r="AT348" s="87">
        <f t="shared" si="13"/>
        <v>0</v>
      </c>
      <c r="AU348" s="88">
        <f t="shared" si="81"/>
        <v>0</v>
      </c>
      <c r="AV348" s="89" t="str">
        <f t="shared" si="15"/>
        <v>#VALUE!</v>
      </c>
      <c r="AW348" s="90">
        <f t="shared" si="16"/>
        <v>0</v>
      </c>
      <c r="AY348" s="85">
        <f t="shared" si="17"/>
        <v>1</v>
      </c>
      <c r="AZ348" s="20">
        <f t="shared" si="18"/>
        <v>1</v>
      </c>
      <c r="BA348" s="20">
        <f t="shared" si="19"/>
        <v>1</v>
      </c>
      <c r="BB348" s="91">
        <f t="shared" si="20"/>
        <v>13323.18</v>
      </c>
      <c r="BC348" s="87">
        <f t="shared" si="21"/>
        <v>39612.3</v>
      </c>
      <c r="BD348" s="92">
        <f t="shared" si="22"/>
        <v>7.933333333</v>
      </c>
      <c r="BE348" s="89" t="str">
        <f t="shared" si="23"/>
        <v>#VALUE!</v>
      </c>
      <c r="BF348" s="90" t="str">
        <f t="shared" si="24"/>
        <v>#VALUE!</v>
      </c>
      <c r="BH348" s="93">
        <f t="shared" si="25"/>
        <v>39612.3</v>
      </c>
      <c r="BI348" s="94">
        <f t="shared" si="26"/>
        <v>1</v>
      </c>
      <c r="BJ348" s="95" t="str">
        <f t="shared" si="27"/>
        <v>#VALUE!</v>
      </c>
      <c r="BK348" s="96" t="str">
        <f t="shared" si="28"/>
        <v>#VALUE!</v>
      </c>
      <c r="BM348" s="97">
        <f t="shared" si="29"/>
        <v>1</v>
      </c>
    </row>
    <row r="349" ht="12.75" customHeight="1">
      <c r="A349" s="65"/>
      <c r="B349" s="115" t="s">
        <v>701</v>
      </c>
      <c r="C349" s="106">
        <v>24800.0</v>
      </c>
      <c r="D349" s="68">
        <v>13.0</v>
      </c>
      <c r="E349" s="106">
        <v>17801.44</v>
      </c>
      <c r="F349" s="68" t="s">
        <v>64</v>
      </c>
      <c r="G349" s="100">
        <v>45439.0</v>
      </c>
      <c r="H349" s="70" t="s">
        <v>57</v>
      </c>
      <c r="I349" s="100">
        <v>46017.0</v>
      </c>
      <c r="J349" s="71">
        <f t="shared" si="99"/>
        <v>19.26666667</v>
      </c>
      <c r="K349" s="98" t="s">
        <v>702</v>
      </c>
      <c r="L349" s="98">
        <v>30000.0</v>
      </c>
      <c r="M349" s="73">
        <v>1374.32</v>
      </c>
      <c r="N349" s="73">
        <v>12370.93</v>
      </c>
      <c r="O349" s="101">
        <v>1148.0</v>
      </c>
      <c r="P349" s="73">
        <f t="shared" si="70"/>
        <v>0</v>
      </c>
      <c r="Q349" s="73">
        <f t="shared" si="71"/>
        <v>2694.69</v>
      </c>
      <c r="R349" s="74">
        <f t="shared" si="72"/>
        <v>0.1513748326</v>
      </c>
      <c r="S349" s="74">
        <f t="shared" si="73"/>
        <v>0.8486251674</v>
      </c>
      <c r="T349" s="75"/>
      <c r="V349" s="76"/>
      <c r="W349" s="77"/>
      <c r="X349" s="77"/>
      <c r="Y349" s="77"/>
      <c r="Z349" s="77"/>
      <c r="AA349" s="77"/>
      <c r="AB349" s="78"/>
      <c r="AC349" s="77"/>
      <c r="AD349" s="79"/>
      <c r="AE349" s="80"/>
      <c r="AF349" s="81"/>
      <c r="AG349" s="79"/>
      <c r="AH349" s="80"/>
      <c r="AI349" s="82"/>
      <c r="AJ349" s="82"/>
      <c r="AK349" s="83"/>
      <c r="AL349" s="84"/>
      <c r="AP349" s="85">
        <f t="shared" si="9"/>
        <v>0</v>
      </c>
      <c r="AQ349" s="20">
        <f t="shared" si="10"/>
        <v>1</v>
      </c>
      <c r="AR349" s="20">
        <f t="shared" si="11"/>
        <v>0</v>
      </c>
      <c r="AS349" s="86">
        <f t="shared" si="12"/>
        <v>0</v>
      </c>
      <c r="AT349" s="87">
        <f t="shared" si="13"/>
        <v>0</v>
      </c>
      <c r="AU349" s="88">
        <f t="shared" si="81"/>
        <v>0</v>
      </c>
      <c r="AV349" s="89" t="str">
        <f t="shared" si="15"/>
        <v>#VALUE!</v>
      </c>
      <c r="AW349" s="90">
        <f t="shared" si="16"/>
        <v>0</v>
      </c>
      <c r="AY349" s="85">
        <f t="shared" si="17"/>
        <v>1</v>
      </c>
      <c r="AZ349" s="20">
        <f t="shared" si="18"/>
        <v>1</v>
      </c>
      <c r="BA349" s="20">
        <f t="shared" si="19"/>
        <v>1</v>
      </c>
      <c r="BB349" s="91">
        <f t="shared" si="20"/>
        <v>13518.93</v>
      </c>
      <c r="BC349" s="87">
        <f t="shared" si="21"/>
        <v>17801.44</v>
      </c>
      <c r="BD349" s="92">
        <f t="shared" si="22"/>
        <v>19.26666667</v>
      </c>
      <c r="BE349" s="89" t="str">
        <f t="shared" si="23"/>
        <v>#VALUE!</v>
      </c>
      <c r="BF349" s="90" t="str">
        <f t="shared" si="24"/>
        <v>#VALUE!</v>
      </c>
      <c r="BH349" s="93">
        <f t="shared" si="25"/>
        <v>17801.44</v>
      </c>
      <c r="BI349" s="94">
        <f t="shared" si="26"/>
        <v>1</v>
      </c>
      <c r="BJ349" s="95" t="str">
        <f t="shared" si="27"/>
        <v>#VALUE!</v>
      </c>
      <c r="BK349" s="96" t="str">
        <f t="shared" si="28"/>
        <v>#VALUE!</v>
      </c>
      <c r="BM349" s="97">
        <f t="shared" si="29"/>
        <v>1</v>
      </c>
    </row>
    <row r="350" ht="12.75" customHeight="1">
      <c r="A350" s="65"/>
      <c r="B350" s="115" t="s">
        <v>703</v>
      </c>
      <c r="C350" s="106">
        <v>25000.0</v>
      </c>
      <c r="D350" s="68">
        <v>13.0</v>
      </c>
      <c r="E350" s="106">
        <v>16722.81</v>
      </c>
      <c r="F350" s="68" t="s">
        <v>64</v>
      </c>
      <c r="G350" s="100">
        <v>45383.0</v>
      </c>
      <c r="H350" s="70" t="s">
        <v>57</v>
      </c>
      <c r="I350" s="100">
        <v>45804.0</v>
      </c>
      <c r="J350" s="71">
        <f t="shared" si="99"/>
        <v>14.03333333</v>
      </c>
      <c r="K350" s="98" t="s">
        <v>704</v>
      </c>
      <c r="L350" s="98">
        <v>45000.0</v>
      </c>
      <c r="M350" s="101">
        <v>1000.39</v>
      </c>
      <c r="N350" s="101">
        <v>7137.31</v>
      </c>
      <c r="O350" s="101">
        <v>177.78</v>
      </c>
      <c r="P350" s="73">
        <f t="shared" si="70"/>
        <v>0</v>
      </c>
      <c r="Q350" s="73">
        <f t="shared" si="71"/>
        <v>0</v>
      </c>
      <c r="R350" s="74">
        <f t="shared" si="72"/>
        <v>0</v>
      </c>
      <c r="S350" s="74">
        <f t="shared" si="73"/>
        <v>1</v>
      </c>
      <c r="T350" s="75"/>
      <c r="V350" s="76"/>
      <c r="W350" s="77"/>
      <c r="X350" s="77"/>
      <c r="Y350" s="77"/>
      <c r="Z350" s="77"/>
      <c r="AA350" s="77"/>
      <c r="AB350" s="78"/>
      <c r="AC350" s="77"/>
      <c r="AD350" s="79"/>
      <c r="AE350" s="80"/>
      <c r="AF350" s="81"/>
      <c r="AG350" s="79"/>
      <c r="AH350" s="80"/>
      <c r="AI350" s="82"/>
      <c r="AJ350" s="82"/>
      <c r="AK350" s="83"/>
      <c r="AL350" s="84"/>
      <c r="AP350" s="85">
        <f t="shared" si="9"/>
        <v>0</v>
      </c>
      <c r="AQ350" s="20">
        <f t="shared" si="10"/>
        <v>1</v>
      </c>
      <c r="AR350" s="20">
        <f t="shared" si="11"/>
        <v>0</v>
      </c>
      <c r="AS350" s="86">
        <f t="shared" si="12"/>
        <v>0</v>
      </c>
      <c r="AT350" s="87">
        <f t="shared" si="13"/>
        <v>0</v>
      </c>
      <c r="AU350" s="88">
        <f t="shared" si="81"/>
        <v>0</v>
      </c>
      <c r="AV350" s="89" t="str">
        <f t="shared" si="15"/>
        <v>#VALUE!</v>
      </c>
      <c r="AW350" s="90">
        <f t="shared" si="16"/>
        <v>0</v>
      </c>
      <c r="AY350" s="85">
        <f t="shared" si="17"/>
        <v>1</v>
      </c>
      <c r="AZ350" s="20">
        <f t="shared" si="18"/>
        <v>1</v>
      </c>
      <c r="BA350" s="20">
        <f t="shared" si="19"/>
        <v>1</v>
      </c>
      <c r="BB350" s="91">
        <f t="shared" si="20"/>
        <v>7315.09</v>
      </c>
      <c r="BC350" s="87">
        <f t="shared" si="21"/>
        <v>16722.81</v>
      </c>
      <c r="BD350" s="92">
        <f t="shared" si="22"/>
        <v>14.03333333</v>
      </c>
      <c r="BE350" s="89" t="str">
        <f t="shared" si="23"/>
        <v>#VALUE!</v>
      </c>
      <c r="BF350" s="90" t="str">
        <f t="shared" si="24"/>
        <v>#VALUE!</v>
      </c>
      <c r="BH350" s="93">
        <f t="shared" si="25"/>
        <v>16722.81</v>
      </c>
      <c r="BI350" s="94">
        <f t="shared" si="26"/>
        <v>1</v>
      </c>
      <c r="BJ350" s="95" t="str">
        <f t="shared" si="27"/>
        <v>#VALUE!</v>
      </c>
      <c r="BK350" s="96" t="str">
        <f t="shared" si="28"/>
        <v>#VALUE!</v>
      </c>
      <c r="BM350" s="97">
        <f t="shared" si="29"/>
        <v>1</v>
      </c>
    </row>
    <row r="351" ht="12.75" customHeight="1">
      <c r="A351" s="65"/>
      <c r="B351" s="115" t="s">
        <v>705</v>
      </c>
      <c r="C351" s="106">
        <v>39995.0</v>
      </c>
      <c r="D351" s="68">
        <v>13.0</v>
      </c>
      <c r="E351" s="106">
        <v>29594.88</v>
      </c>
      <c r="F351" s="99" t="s">
        <v>56</v>
      </c>
      <c r="G351" s="100">
        <v>45454.0</v>
      </c>
      <c r="H351" s="70" t="s">
        <v>57</v>
      </c>
      <c r="I351" s="100">
        <v>45656.0</v>
      </c>
      <c r="J351" s="71">
        <f t="shared" si="99"/>
        <v>6.733333333</v>
      </c>
      <c r="K351" s="98" t="s">
        <v>706</v>
      </c>
      <c r="L351" s="98">
        <v>47000.0</v>
      </c>
      <c r="M351" s="73">
        <v>1404.65</v>
      </c>
      <c r="N351" s="73">
        <v>3223.7299999999996</v>
      </c>
      <c r="O351" s="101">
        <v>1179.11</v>
      </c>
      <c r="P351" s="73">
        <f t="shared" si="70"/>
        <v>0</v>
      </c>
      <c r="Q351" s="73">
        <f t="shared" si="71"/>
        <v>0</v>
      </c>
      <c r="R351" s="74">
        <f t="shared" si="72"/>
        <v>0</v>
      </c>
      <c r="S351" s="74">
        <f t="shared" si="73"/>
        <v>1</v>
      </c>
      <c r="T351" s="75"/>
      <c r="V351" s="76"/>
      <c r="W351" s="77"/>
      <c r="X351" s="77"/>
      <c r="Y351" s="77"/>
      <c r="Z351" s="77"/>
      <c r="AA351" s="77"/>
      <c r="AB351" s="78"/>
      <c r="AC351" s="77"/>
      <c r="AD351" s="79"/>
      <c r="AE351" s="80"/>
      <c r="AF351" s="81"/>
      <c r="AG351" s="79"/>
      <c r="AH351" s="80"/>
      <c r="AI351" s="82"/>
      <c r="AJ351" s="82"/>
      <c r="AK351" s="83"/>
      <c r="AL351" s="84"/>
      <c r="AP351" s="85">
        <f t="shared" si="9"/>
        <v>1</v>
      </c>
      <c r="AQ351" s="20">
        <f t="shared" si="10"/>
        <v>1</v>
      </c>
      <c r="AR351" s="20">
        <f t="shared" si="11"/>
        <v>1</v>
      </c>
      <c r="AS351" s="86">
        <f t="shared" si="12"/>
        <v>4402.84</v>
      </c>
      <c r="AT351" s="87">
        <f t="shared" si="13"/>
        <v>29594.88</v>
      </c>
      <c r="AU351" s="88">
        <f t="shared" si="81"/>
        <v>6.733333333</v>
      </c>
      <c r="AV351" s="89" t="str">
        <f t="shared" si="15"/>
        <v>#VALUE!</v>
      </c>
      <c r="AW351" s="90" t="str">
        <f t="shared" si="16"/>
        <v>#VALUE!</v>
      </c>
      <c r="AY351" s="85">
        <f t="shared" si="17"/>
        <v>0</v>
      </c>
      <c r="AZ351" s="20">
        <f t="shared" si="18"/>
        <v>1</v>
      </c>
      <c r="BA351" s="20">
        <f t="shared" si="19"/>
        <v>0</v>
      </c>
      <c r="BB351" s="91">
        <f t="shared" si="20"/>
        <v>0</v>
      </c>
      <c r="BC351" s="87">
        <f t="shared" si="21"/>
        <v>0</v>
      </c>
      <c r="BD351" s="92">
        <f t="shared" si="22"/>
        <v>0</v>
      </c>
      <c r="BE351" s="89" t="str">
        <f t="shared" si="23"/>
        <v>#VALUE!</v>
      </c>
      <c r="BF351" s="90">
        <f t="shared" si="24"/>
        <v>0</v>
      </c>
      <c r="BH351" s="93">
        <f t="shared" si="25"/>
        <v>29594.88</v>
      </c>
      <c r="BI351" s="94">
        <f t="shared" si="26"/>
        <v>1</v>
      </c>
      <c r="BJ351" s="95" t="str">
        <f t="shared" si="27"/>
        <v>#VALUE!</v>
      </c>
      <c r="BK351" s="96" t="str">
        <f t="shared" si="28"/>
        <v>#VALUE!</v>
      </c>
      <c r="BM351" s="97">
        <f t="shared" si="29"/>
        <v>1</v>
      </c>
    </row>
    <row r="352" ht="12.75" customHeight="1">
      <c r="A352" s="65"/>
      <c r="B352" s="115" t="s">
        <v>707</v>
      </c>
      <c r="C352" s="106">
        <v>51510.0</v>
      </c>
      <c r="D352" s="68">
        <v>13.0</v>
      </c>
      <c r="E352" s="106">
        <v>39988.14</v>
      </c>
      <c r="F352" s="68" t="s">
        <v>56</v>
      </c>
      <c r="G352" s="100">
        <v>45468.0</v>
      </c>
      <c r="H352" s="70" t="s">
        <v>57</v>
      </c>
      <c r="I352" s="100">
        <v>45743.0</v>
      </c>
      <c r="J352" s="71">
        <f t="shared" si="99"/>
        <v>9.166666667</v>
      </c>
      <c r="K352" s="98" t="s">
        <v>708</v>
      </c>
      <c r="L352" s="98">
        <v>55000.0</v>
      </c>
      <c r="M352" s="101">
        <v>726.74</v>
      </c>
      <c r="N352" s="101">
        <v>7806.69</v>
      </c>
      <c r="O352" s="101">
        <v>1502.21</v>
      </c>
      <c r="P352" s="73">
        <f t="shared" si="70"/>
        <v>0</v>
      </c>
      <c r="Q352" s="73">
        <f t="shared" si="71"/>
        <v>0</v>
      </c>
      <c r="R352" s="74">
        <f t="shared" si="72"/>
        <v>0</v>
      </c>
      <c r="S352" s="74">
        <f t="shared" si="73"/>
        <v>1</v>
      </c>
      <c r="T352" s="75"/>
      <c r="V352" s="76"/>
      <c r="W352" s="77"/>
      <c r="X352" s="77"/>
      <c r="Y352" s="77"/>
      <c r="Z352" s="77"/>
      <c r="AA352" s="77"/>
      <c r="AB352" s="78"/>
      <c r="AC352" s="77"/>
      <c r="AD352" s="79"/>
      <c r="AE352" s="80"/>
      <c r="AF352" s="81"/>
      <c r="AG352" s="79"/>
      <c r="AH352" s="80"/>
      <c r="AI352" s="82"/>
      <c r="AJ352" s="82"/>
      <c r="AK352" s="83"/>
      <c r="AL352" s="84"/>
      <c r="AP352" s="85">
        <f t="shared" si="9"/>
        <v>1</v>
      </c>
      <c r="AQ352" s="20">
        <f t="shared" si="10"/>
        <v>1</v>
      </c>
      <c r="AR352" s="20">
        <f t="shared" si="11"/>
        <v>1</v>
      </c>
      <c r="AS352" s="86">
        <f t="shared" si="12"/>
        <v>9308.9</v>
      </c>
      <c r="AT352" s="87">
        <f t="shared" si="13"/>
        <v>39988.14</v>
      </c>
      <c r="AU352" s="88">
        <f t="shared" si="81"/>
        <v>9.166666667</v>
      </c>
      <c r="AV352" s="89" t="str">
        <f t="shared" si="15"/>
        <v>#VALUE!</v>
      </c>
      <c r="AW352" s="90" t="str">
        <f t="shared" si="16"/>
        <v>#VALUE!</v>
      </c>
      <c r="AY352" s="85">
        <f t="shared" si="17"/>
        <v>0</v>
      </c>
      <c r="AZ352" s="20">
        <f t="shared" si="18"/>
        <v>1</v>
      </c>
      <c r="BA352" s="20">
        <f t="shared" si="19"/>
        <v>0</v>
      </c>
      <c r="BB352" s="91">
        <f t="shared" si="20"/>
        <v>0</v>
      </c>
      <c r="BC352" s="87">
        <f t="shared" si="21"/>
        <v>0</v>
      </c>
      <c r="BD352" s="92">
        <f t="shared" si="22"/>
        <v>0</v>
      </c>
      <c r="BE352" s="89" t="str">
        <f t="shared" si="23"/>
        <v>#VALUE!</v>
      </c>
      <c r="BF352" s="90">
        <f t="shared" si="24"/>
        <v>0</v>
      </c>
      <c r="BH352" s="93">
        <f t="shared" si="25"/>
        <v>39988.14</v>
      </c>
      <c r="BI352" s="94">
        <f t="shared" si="26"/>
        <v>1</v>
      </c>
      <c r="BJ352" s="95" t="str">
        <f t="shared" si="27"/>
        <v>#VALUE!</v>
      </c>
      <c r="BK352" s="96" t="str">
        <f t="shared" si="28"/>
        <v>#VALUE!</v>
      </c>
      <c r="BM352" s="97">
        <f t="shared" si="29"/>
        <v>1</v>
      </c>
    </row>
    <row r="353" ht="12.75" customHeight="1">
      <c r="A353" s="65"/>
      <c r="B353" s="66" t="s">
        <v>709</v>
      </c>
      <c r="C353" s="67">
        <v>40000.0</v>
      </c>
      <c r="D353" s="68">
        <v>13.0</v>
      </c>
      <c r="E353" s="67">
        <v>33133.75</v>
      </c>
      <c r="F353" s="68" t="s">
        <v>64</v>
      </c>
      <c r="G353" s="69">
        <v>45373.0</v>
      </c>
      <c r="H353" s="70" t="s">
        <v>57</v>
      </c>
      <c r="I353" s="100">
        <v>45534.0</v>
      </c>
      <c r="J353" s="71">
        <f t="shared" si="99"/>
        <v>5.366666667</v>
      </c>
      <c r="K353" s="98" t="s">
        <v>710</v>
      </c>
      <c r="L353" s="98">
        <v>46000.0</v>
      </c>
      <c r="M353" s="73">
        <v>1823.17</v>
      </c>
      <c r="N353" s="113">
        <v>9881.22</v>
      </c>
      <c r="O353" s="101">
        <v>1485.23</v>
      </c>
      <c r="P353" s="73">
        <f t="shared" si="70"/>
        <v>0</v>
      </c>
      <c r="Q353" s="73">
        <f t="shared" si="71"/>
        <v>323.37</v>
      </c>
      <c r="R353" s="74">
        <f t="shared" si="72"/>
        <v>0.009759535217</v>
      </c>
      <c r="S353" s="74">
        <f t="shared" si="73"/>
        <v>0.9902404648</v>
      </c>
      <c r="T353" s="75"/>
      <c r="V353" s="76"/>
      <c r="W353" s="77"/>
      <c r="X353" s="77"/>
      <c r="Y353" s="77"/>
      <c r="Z353" s="77"/>
      <c r="AA353" s="77"/>
      <c r="AB353" s="78"/>
      <c r="AC353" s="77"/>
      <c r="AD353" s="79"/>
      <c r="AE353" s="80"/>
      <c r="AF353" s="81"/>
      <c r="AG353" s="79"/>
      <c r="AH353" s="80"/>
      <c r="AI353" s="82"/>
      <c r="AJ353" s="82"/>
      <c r="AK353" s="83"/>
      <c r="AL353" s="84"/>
      <c r="AP353" s="85">
        <f t="shared" si="9"/>
        <v>0</v>
      </c>
      <c r="AQ353" s="20">
        <f t="shared" si="10"/>
        <v>1</v>
      </c>
      <c r="AR353" s="20">
        <f t="shared" si="11"/>
        <v>0</v>
      </c>
      <c r="AS353" s="86">
        <f t="shared" si="12"/>
        <v>0</v>
      </c>
      <c r="AT353" s="87">
        <f t="shared" si="13"/>
        <v>0</v>
      </c>
      <c r="AU353" s="88">
        <f t="shared" si="81"/>
        <v>0</v>
      </c>
      <c r="AV353" s="89" t="str">
        <f t="shared" si="15"/>
        <v>#VALUE!</v>
      </c>
      <c r="AW353" s="90">
        <f t="shared" si="16"/>
        <v>0</v>
      </c>
      <c r="AY353" s="85">
        <f t="shared" si="17"/>
        <v>1</v>
      </c>
      <c r="AZ353" s="20">
        <f t="shared" si="18"/>
        <v>1</v>
      </c>
      <c r="BA353" s="20">
        <f t="shared" si="19"/>
        <v>1</v>
      </c>
      <c r="BB353" s="91">
        <f t="shared" si="20"/>
        <v>11366.45</v>
      </c>
      <c r="BC353" s="87">
        <f t="shared" si="21"/>
        <v>33133.75</v>
      </c>
      <c r="BD353" s="92">
        <f t="shared" si="22"/>
        <v>5.366666667</v>
      </c>
      <c r="BE353" s="89" t="str">
        <f t="shared" si="23"/>
        <v>#VALUE!</v>
      </c>
      <c r="BF353" s="90" t="str">
        <f t="shared" si="24"/>
        <v>#VALUE!</v>
      </c>
      <c r="BH353" s="93">
        <f t="shared" si="25"/>
        <v>33133.75</v>
      </c>
      <c r="BI353" s="94">
        <f t="shared" si="26"/>
        <v>1</v>
      </c>
      <c r="BJ353" s="95" t="str">
        <f t="shared" si="27"/>
        <v>#VALUE!</v>
      </c>
      <c r="BK353" s="96" t="str">
        <f t="shared" si="28"/>
        <v>#VALUE!</v>
      </c>
      <c r="BM353" s="97">
        <f t="shared" si="29"/>
        <v>1</v>
      </c>
    </row>
    <row r="354" ht="12.75" customHeight="1">
      <c r="A354" s="65"/>
      <c r="B354" s="115" t="s">
        <v>711</v>
      </c>
      <c r="C354" s="106">
        <v>42000.0</v>
      </c>
      <c r="D354" s="68">
        <v>13.0</v>
      </c>
      <c r="E354" s="106">
        <v>32215.0</v>
      </c>
      <c r="F354" s="68" t="s">
        <v>56</v>
      </c>
      <c r="G354" s="100">
        <v>45463.0</v>
      </c>
      <c r="H354" s="70" t="s">
        <v>57</v>
      </c>
      <c r="I354" s="100">
        <v>45687.0</v>
      </c>
      <c r="J354" s="71">
        <f t="shared" si="99"/>
        <v>7.466666667</v>
      </c>
      <c r="K354" s="98" t="s">
        <v>712</v>
      </c>
      <c r="L354" s="98">
        <v>50000.0</v>
      </c>
      <c r="M354" s="73">
        <f>124.6+284.74+202.86+297.84+450.33+44.86+511.92</f>
        <v>1917.15</v>
      </c>
      <c r="N354" s="73">
        <f>4468.42+165.6+387.17+124.2+1959.14+129+3+25.87+30+326+16+112+65.74+2500+101.43+100</f>
        <v>10513.57</v>
      </c>
      <c r="O354" s="101">
        <f>828+2225.51</f>
        <v>3053.51</v>
      </c>
      <c r="P354" s="73">
        <f t="shared" si="70"/>
        <v>0</v>
      </c>
      <c r="Q354" s="73">
        <f t="shared" si="71"/>
        <v>0</v>
      </c>
      <c r="R354" s="74">
        <f t="shared" si="72"/>
        <v>0</v>
      </c>
      <c r="S354" s="74">
        <f t="shared" si="73"/>
        <v>1</v>
      </c>
      <c r="T354" s="75"/>
      <c r="V354" s="76"/>
      <c r="W354" s="77"/>
      <c r="X354" s="77"/>
      <c r="Y354" s="77"/>
      <c r="Z354" s="77"/>
      <c r="AA354" s="77"/>
      <c r="AB354" s="78"/>
      <c r="AC354" s="77"/>
      <c r="AD354" s="79"/>
      <c r="AE354" s="80"/>
      <c r="AF354" s="81"/>
      <c r="AG354" s="79"/>
      <c r="AH354" s="80"/>
      <c r="AI354" s="82"/>
      <c r="AJ354" s="82"/>
      <c r="AK354" s="83"/>
      <c r="AL354" s="84"/>
      <c r="AP354" s="85">
        <f t="shared" si="9"/>
        <v>1</v>
      </c>
      <c r="AQ354" s="20">
        <f t="shared" si="10"/>
        <v>1</v>
      </c>
      <c r="AR354" s="20">
        <f t="shared" si="11"/>
        <v>1</v>
      </c>
      <c r="AS354" s="86">
        <f t="shared" si="12"/>
        <v>13567.08</v>
      </c>
      <c r="AT354" s="87">
        <f t="shared" si="13"/>
        <v>32215</v>
      </c>
      <c r="AU354" s="88">
        <f t="shared" si="81"/>
        <v>7.466666667</v>
      </c>
      <c r="AV354" s="89" t="str">
        <f t="shared" si="15"/>
        <v>#VALUE!</v>
      </c>
      <c r="AW354" s="90" t="str">
        <f t="shared" si="16"/>
        <v>#VALUE!</v>
      </c>
      <c r="AY354" s="85">
        <f t="shared" si="17"/>
        <v>0</v>
      </c>
      <c r="AZ354" s="20">
        <f t="shared" si="18"/>
        <v>1</v>
      </c>
      <c r="BA354" s="20">
        <f t="shared" si="19"/>
        <v>0</v>
      </c>
      <c r="BB354" s="91">
        <f t="shared" si="20"/>
        <v>0</v>
      </c>
      <c r="BC354" s="87">
        <f t="shared" si="21"/>
        <v>0</v>
      </c>
      <c r="BD354" s="92">
        <f t="shared" si="22"/>
        <v>0</v>
      </c>
      <c r="BE354" s="89" t="str">
        <f t="shared" si="23"/>
        <v>#VALUE!</v>
      </c>
      <c r="BF354" s="90">
        <f t="shared" si="24"/>
        <v>0</v>
      </c>
      <c r="BH354" s="93">
        <f t="shared" si="25"/>
        <v>32215</v>
      </c>
      <c r="BI354" s="94">
        <f t="shared" si="26"/>
        <v>1</v>
      </c>
      <c r="BJ354" s="95" t="str">
        <f t="shared" si="27"/>
        <v>#VALUE!</v>
      </c>
      <c r="BK354" s="96" t="str">
        <f t="shared" si="28"/>
        <v>#VALUE!</v>
      </c>
      <c r="BM354" s="97">
        <f t="shared" si="29"/>
        <v>1</v>
      </c>
    </row>
    <row r="355" ht="12.75" customHeight="1">
      <c r="A355" s="65"/>
      <c r="B355" s="115" t="s">
        <v>713</v>
      </c>
      <c r="C355" s="106">
        <v>50000.0</v>
      </c>
      <c r="D355" s="68">
        <v>13.0</v>
      </c>
      <c r="E355" s="106">
        <v>38909.61</v>
      </c>
      <c r="F355" s="68" t="s">
        <v>56</v>
      </c>
      <c r="G355" s="100">
        <v>45468.0</v>
      </c>
      <c r="H355" s="70" t="s">
        <v>57</v>
      </c>
      <c r="I355" s="100">
        <v>45563.0</v>
      </c>
      <c r="J355" s="71">
        <f t="shared" si="99"/>
        <v>3.166666667</v>
      </c>
      <c r="K355" s="98" t="s">
        <v>714</v>
      </c>
      <c r="L355" s="98">
        <v>50500.0</v>
      </c>
      <c r="M355" s="73">
        <v>3252.13</v>
      </c>
      <c r="N355" s="113">
        <v>7550.98</v>
      </c>
      <c r="O355" s="101">
        <v>220.0</v>
      </c>
      <c r="P355" s="73">
        <f t="shared" si="70"/>
        <v>0</v>
      </c>
      <c r="Q355" s="73">
        <f t="shared" si="71"/>
        <v>0</v>
      </c>
      <c r="R355" s="74">
        <f t="shared" si="72"/>
        <v>0</v>
      </c>
      <c r="S355" s="74">
        <f t="shared" si="73"/>
        <v>1</v>
      </c>
      <c r="T355" s="75"/>
      <c r="V355" s="76"/>
      <c r="W355" s="77"/>
      <c r="X355" s="77"/>
      <c r="Y355" s="77"/>
      <c r="Z355" s="77"/>
      <c r="AA355" s="77"/>
      <c r="AB355" s="78"/>
      <c r="AC355" s="77"/>
      <c r="AD355" s="79"/>
      <c r="AE355" s="80"/>
      <c r="AF355" s="81"/>
      <c r="AG355" s="79"/>
      <c r="AH355" s="80"/>
      <c r="AI355" s="82"/>
      <c r="AJ355" s="82"/>
      <c r="AK355" s="83"/>
      <c r="AL355" s="84"/>
      <c r="AP355" s="85">
        <f t="shared" si="9"/>
        <v>1</v>
      </c>
      <c r="AQ355" s="20">
        <f t="shared" si="10"/>
        <v>1</v>
      </c>
      <c r="AR355" s="20">
        <f t="shared" si="11"/>
        <v>1</v>
      </c>
      <c r="AS355" s="86">
        <f t="shared" si="12"/>
        <v>7770.98</v>
      </c>
      <c r="AT355" s="87">
        <f t="shared" si="13"/>
        <v>38909.61</v>
      </c>
      <c r="AU355" s="88">
        <f t="shared" si="81"/>
        <v>3.166666667</v>
      </c>
      <c r="AV355" s="89" t="str">
        <f t="shared" si="15"/>
        <v>#VALUE!</v>
      </c>
      <c r="AW355" s="90" t="str">
        <f t="shared" si="16"/>
        <v>#VALUE!</v>
      </c>
      <c r="AY355" s="85">
        <f t="shared" si="17"/>
        <v>0</v>
      </c>
      <c r="AZ355" s="20">
        <f t="shared" si="18"/>
        <v>1</v>
      </c>
      <c r="BA355" s="20">
        <f t="shared" si="19"/>
        <v>0</v>
      </c>
      <c r="BB355" s="91">
        <f t="shared" si="20"/>
        <v>0</v>
      </c>
      <c r="BC355" s="87">
        <f t="shared" si="21"/>
        <v>0</v>
      </c>
      <c r="BD355" s="92">
        <f t="shared" si="22"/>
        <v>0</v>
      </c>
      <c r="BE355" s="89" t="str">
        <f t="shared" si="23"/>
        <v>#VALUE!</v>
      </c>
      <c r="BF355" s="90">
        <f t="shared" si="24"/>
        <v>0</v>
      </c>
      <c r="BH355" s="93">
        <f t="shared" si="25"/>
        <v>38909.61</v>
      </c>
      <c r="BI355" s="94">
        <f t="shared" si="26"/>
        <v>1</v>
      </c>
      <c r="BJ355" s="95" t="str">
        <f t="shared" si="27"/>
        <v>#VALUE!</v>
      </c>
      <c r="BK355" s="96" t="str">
        <f t="shared" si="28"/>
        <v>#VALUE!</v>
      </c>
      <c r="BM355" s="97">
        <f t="shared" si="29"/>
        <v>1</v>
      </c>
    </row>
    <row r="356" ht="12.75" customHeight="1">
      <c r="A356" s="65"/>
      <c r="B356" s="115" t="s">
        <v>715</v>
      </c>
      <c r="C356" s="106">
        <v>50600.0</v>
      </c>
      <c r="D356" s="68">
        <v>13.0</v>
      </c>
      <c r="E356" s="106">
        <v>49459.36</v>
      </c>
      <c r="F356" s="68" t="s">
        <v>56</v>
      </c>
      <c r="G356" s="100">
        <v>45457.0</v>
      </c>
      <c r="H356" s="70" t="s">
        <v>57</v>
      </c>
      <c r="I356" s="100">
        <v>45820.0</v>
      </c>
      <c r="J356" s="71">
        <f t="shared" si="99"/>
        <v>12.1</v>
      </c>
      <c r="K356" s="98" t="s">
        <v>716</v>
      </c>
      <c r="L356" s="98">
        <v>60000.0</v>
      </c>
      <c r="M356" s="101">
        <v>1093.5</v>
      </c>
      <c r="N356" s="101">
        <v>10538.24</v>
      </c>
      <c r="O356" s="101">
        <v>24.61</v>
      </c>
      <c r="P356" s="73">
        <f t="shared" si="70"/>
        <v>0</v>
      </c>
      <c r="Q356" s="73">
        <f t="shared" si="71"/>
        <v>1115.71</v>
      </c>
      <c r="R356" s="74">
        <f t="shared" si="72"/>
        <v>0.0225581164</v>
      </c>
      <c r="S356" s="74">
        <f t="shared" si="73"/>
        <v>0.9774418836</v>
      </c>
      <c r="T356" s="75"/>
      <c r="V356" s="76"/>
      <c r="W356" s="77"/>
      <c r="X356" s="77"/>
      <c r="Y356" s="77"/>
      <c r="Z356" s="77"/>
      <c r="AA356" s="77"/>
      <c r="AB356" s="78"/>
      <c r="AC356" s="77"/>
      <c r="AD356" s="79"/>
      <c r="AE356" s="80"/>
      <c r="AF356" s="81"/>
      <c r="AG356" s="79"/>
      <c r="AH356" s="80"/>
      <c r="AI356" s="82"/>
      <c r="AJ356" s="82"/>
      <c r="AK356" s="83"/>
      <c r="AL356" s="84"/>
      <c r="AP356" s="85">
        <f t="shared" si="9"/>
        <v>1</v>
      </c>
      <c r="AQ356" s="20">
        <f t="shared" si="10"/>
        <v>1</v>
      </c>
      <c r="AR356" s="20">
        <f t="shared" si="11"/>
        <v>1</v>
      </c>
      <c r="AS356" s="86">
        <f t="shared" si="12"/>
        <v>10562.85</v>
      </c>
      <c r="AT356" s="87">
        <f t="shared" si="13"/>
        <v>49459.36</v>
      </c>
      <c r="AU356" s="88">
        <f t="shared" si="81"/>
        <v>12.1</v>
      </c>
      <c r="AV356" s="89" t="str">
        <f t="shared" si="15"/>
        <v>#VALUE!</v>
      </c>
      <c r="AW356" s="90" t="str">
        <f t="shared" si="16"/>
        <v>#VALUE!</v>
      </c>
      <c r="AY356" s="85">
        <f t="shared" si="17"/>
        <v>0</v>
      </c>
      <c r="AZ356" s="20">
        <f t="shared" si="18"/>
        <v>1</v>
      </c>
      <c r="BA356" s="20">
        <f t="shared" si="19"/>
        <v>0</v>
      </c>
      <c r="BB356" s="91">
        <f t="shared" si="20"/>
        <v>0</v>
      </c>
      <c r="BC356" s="87">
        <f t="shared" si="21"/>
        <v>0</v>
      </c>
      <c r="BD356" s="92">
        <f t="shared" si="22"/>
        <v>0</v>
      </c>
      <c r="BE356" s="89" t="str">
        <f t="shared" si="23"/>
        <v>#VALUE!</v>
      </c>
      <c r="BF356" s="90">
        <f t="shared" si="24"/>
        <v>0</v>
      </c>
      <c r="BH356" s="93">
        <f t="shared" si="25"/>
        <v>49459.36</v>
      </c>
      <c r="BI356" s="94">
        <f t="shared" si="26"/>
        <v>1</v>
      </c>
      <c r="BJ356" s="95" t="str">
        <f t="shared" si="27"/>
        <v>#VALUE!</v>
      </c>
      <c r="BK356" s="96" t="str">
        <f t="shared" si="28"/>
        <v>#VALUE!</v>
      </c>
      <c r="BM356" s="97">
        <f t="shared" si="29"/>
        <v>1</v>
      </c>
    </row>
    <row r="357" ht="12.75" customHeight="1">
      <c r="A357" s="65"/>
      <c r="B357" s="115" t="s">
        <v>717</v>
      </c>
      <c r="C357" s="106">
        <v>28177.0</v>
      </c>
      <c r="D357" s="68">
        <v>13.0</v>
      </c>
      <c r="E357" s="106">
        <v>17753.43</v>
      </c>
      <c r="F357" s="68" t="s">
        <v>56</v>
      </c>
      <c r="G357" s="100">
        <v>45476.0</v>
      </c>
      <c r="H357" s="70" t="s">
        <v>57</v>
      </c>
      <c r="I357" s="100">
        <v>45776.0</v>
      </c>
      <c r="J357" s="71">
        <f t="shared" si="99"/>
        <v>10</v>
      </c>
      <c r="K357" s="98" t="s">
        <v>718</v>
      </c>
      <c r="L357" s="98">
        <v>51000.0</v>
      </c>
      <c r="M357" s="101">
        <v>501.88</v>
      </c>
      <c r="N357" s="101">
        <v>6938.98</v>
      </c>
      <c r="O357" s="101">
        <v>1786.04</v>
      </c>
      <c r="P357" s="73">
        <f t="shared" si="70"/>
        <v>0</v>
      </c>
      <c r="Q357" s="73">
        <f t="shared" si="71"/>
        <v>0</v>
      </c>
      <c r="R357" s="74">
        <f t="shared" si="72"/>
        <v>0</v>
      </c>
      <c r="S357" s="74">
        <f t="shared" si="73"/>
        <v>1</v>
      </c>
      <c r="T357" s="75"/>
      <c r="V357" s="76"/>
      <c r="W357" s="77"/>
      <c r="X357" s="77"/>
      <c r="Y357" s="77"/>
      <c r="Z357" s="77"/>
      <c r="AA357" s="77"/>
      <c r="AB357" s="78"/>
      <c r="AC357" s="77"/>
      <c r="AD357" s="79"/>
      <c r="AE357" s="80"/>
      <c r="AF357" s="81"/>
      <c r="AG357" s="79"/>
      <c r="AH357" s="80"/>
      <c r="AI357" s="82"/>
      <c r="AJ357" s="82"/>
      <c r="AK357" s="83"/>
      <c r="AL357" s="84"/>
      <c r="AP357" s="85">
        <f t="shared" si="9"/>
        <v>1</v>
      </c>
      <c r="AQ357" s="20">
        <f t="shared" si="10"/>
        <v>1</v>
      </c>
      <c r="AR357" s="20">
        <f t="shared" si="11"/>
        <v>1</v>
      </c>
      <c r="AS357" s="86">
        <f t="shared" si="12"/>
        <v>8725.02</v>
      </c>
      <c r="AT357" s="87">
        <f t="shared" si="13"/>
        <v>17753.43</v>
      </c>
      <c r="AU357" s="88">
        <f t="shared" si="81"/>
        <v>10</v>
      </c>
      <c r="AV357" s="89" t="str">
        <f t="shared" si="15"/>
        <v>#VALUE!</v>
      </c>
      <c r="AW357" s="90" t="str">
        <f t="shared" si="16"/>
        <v>#VALUE!</v>
      </c>
      <c r="AY357" s="85">
        <f t="shared" si="17"/>
        <v>0</v>
      </c>
      <c r="AZ357" s="20">
        <f t="shared" si="18"/>
        <v>1</v>
      </c>
      <c r="BA357" s="20">
        <f t="shared" si="19"/>
        <v>0</v>
      </c>
      <c r="BB357" s="91">
        <f t="shared" si="20"/>
        <v>0</v>
      </c>
      <c r="BC357" s="87">
        <f t="shared" si="21"/>
        <v>0</v>
      </c>
      <c r="BD357" s="92">
        <f t="shared" si="22"/>
        <v>0</v>
      </c>
      <c r="BE357" s="89" t="str">
        <f t="shared" si="23"/>
        <v>#VALUE!</v>
      </c>
      <c r="BF357" s="90">
        <f t="shared" si="24"/>
        <v>0</v>
      </c>
      <c r="BH357" s="93">
        <f t="shared" si="25"/>
        <v>17753.43</v>
      </c>
      <c r="BI357" s="94">
        <f t="shared" si="26"/>
        <v>1</v>
      </c>
      <c r="BJ357" s="95" t="str">
        <f t="shared" si="27"/>
        <v>#VALUE!</v>
      </c>
      <c r="BK357" s="96" t="str">
        <f t="shared" si="28"/>
        <v>#VALUE!</v>
      </c>
      <c r="BM357" s="97">
        <f t="shared" si="29"/>
        <v>1</v>
      </c>
    </row>
    <row r="358" ht="12.75" customHeight="1">
      <c r="A358" s="65"/>
      <c r="B358" s="115" t="s">
        <v>719</v>
      </c>
      <c r="C358" s="106">
        <v>42500.0</v>
      </c>
      <c r="D358" s="68">
        <v>13.0</v>
      </c>
      <c r="E358" s="106">
        <v>34442.15</v>
      </c>
      <c r="F358" s="68" t="s">
        <v>56</v>
      </c>
      <c r="G358" s="100">
        <v>45463.0</v>
      </c>
      <c r="H358" s="70" t="s">
        <v>57</v>
      </c>
      <c r="I358" s="100">
        <v>45782.0</v>
      </c>
      <c r="J358" s="71">
        <f t="shared" si="99"/>
        <v>10.63333333</v>
      </c>
      <c r="K358" s="98" t="s">
        <v>720</v>
      </c>
      <c r="L358" s="72">
        <f>37971.06+8528.94</f>
        <v>46500</v>
      </c>
      <c r="M358" s="101">
        <v>3246.3</v>
      </c>
      <c r="N358" s="101">
        <v>14250.3</v>
      </c>
      <c r="O358" s="73"/>
      <c r="P358" s="73">
        <f t="shared" si="70"/>
        <v>0</v>
      </c>
      <c r="Q358" s="73">
        <f t="shared" si="71"/>
        <v>5438.75</v>
      </c>
      <c r="R358" s="74">
        <f t="shared" si="72"/>
        <v>0.1579097124</v>
      </c>
      <c r="S358" s="74">
        <f t="shared" si="73"/>
        <v>0.8420902876</v>
      </c>
      <c r="T358" s="75"/>
      <c r="V358" s="76"/>
      <c r="W358" s="77"/>
      <c r="X358" s="77"/>
      <c r="Y358" s="77"/>
      <c r="Z358" s="77"/>
      <c r="AA358" s="77"/>
      <c r="AB358" s="78"/>
      <c r="AC358" s="77"/>
      <c r="AD358" s="79"/>
      <c r="AE358" s="80"/>
      <c r="AF358" s="81"/>
      <c r="AG358" s="79"/>
      <c r="AH358" s="80"/>
      <c r="AI358" s="82"/>
      <c r="AJ358" s="82"/>
      <c r="AK358" s="83"/>
      <c r="AL358" s="84"/>
      <c r="AP358" s="85">
        <f t="shared" si="9"/>
        <v>1</v>
      </c>
      <c r="AQ358" s="20">
        <f t="shared" si="10"/>
        <v>1</v>
      </c>
      <c r="AR358" s="20">
        <f t="shared" si="11"/>
        <v>1</v>
      </c>
      <c r="AS358" s="86">
        <f t="shared" si="12"/>
        <v>14250.3</v>
      </c>
      <c r="AT358" s="87">
        <f t="shared" si="13"/>
        <v>34442.15</v>
      </c>
      <c r="AU358" s="88">
        <f t="shared" si="81"/>
        <v>10.63333333</v>
      </c>
      <c r="AV358" s="89" t="str">
        <f t="shared" si="15"/>
        <v>#VALUE!</v>
      </c>
      <c r="AW358" s="90" t="str">
        <f t="shared" si="16"/>
        <v>#VALUE!</v>
      </c>
      <c r="AY358" s="85">
        <f t="shared" si="17"/>
        <v>0</v>
      </c>
      <c r="AZ358" s="20">
        <f t="shared" si="18"/>
        <v>1</v>
      </c>
      <c r="BA358" s="20">
        <f t="shared" si="19"/>
        <v>0</v>
      </c>
      <c r="BB358" s="91">
        <f t="shared" si="20"/>
        <v>0</v>
      </c>
      <c r="BC358" s="87">
        <f t="shared" si="21"/>
        <v>0</v>
      </c>
      <c r="BD358" s="92">
        <f t="shared" si="22"/>
        <v>0</v>
      </c>
      <c r="BE358" s="89" t="str">
        <f t="shared" si="23"/>
        <v>#VALUE!</v>
      </c>
      <c r="BF358" s="90">
        <f t="shared" si="24"/>
        <v>0</v>
      </c>
      <c r="BH358" s="93">
        <f t="shared" si="25"/>
        <v>34442.15</v>
      </c>
      <c r="BI358" s="94">
        <f t="shared" si="26"/>
        <v>1</v>
      </c>
      <c r="BJ358" s="95" t="str">
        <f t="shared" si="27"/>
        <v>#VALUE!</v>
      </c>
      <c r="BK358" s="96" t="str">
        <f t="shared" si="28"/>
        <v>#VALUE!</v>
      </c>
      <c r="BM358" s="97">
        <f t="shared" si="29"/>
        <v>1</v>
      </c>
    </row>
    <row r="359" ht="12.75" customHeight="1">
      <c r="A359" s="65"/>
      <c r="B359" s="66" t="s">
        <v>721</v>
      </c>
      <c r="C359" s="106">
        <v>37503.04</v>
      </c>
      <c r="D359" s="68">
        <v>13.0</v>
      </c>
      <c r="E359" s="106">
        <v>35380.46</v>
      </c>
      <c r="F359" s="68" t="s">
        <v>56</v>
      </c>
      <c r="G359" s="100">
        <v>45464.0</v>
      </c>
      <c r="H359" s="70" t="s">
        <v>57</v>
      </c>
      <c r="I359" s="100">
        <v>45836.0</v>
      </c>
      <c r="J359" s="71">
        <f t="shared" si="99"/>
        <v>12.4</v>
      </c>
      <c r="K359" s="98" t="s">
        <v>722</v>
      </c>
      <c r="L359" s="98">
        <v>54000.0</v>
      </c>
      <c r="M359" s="101">
        <v>1467.41</v>
      </c>
      <c r="N359" s="101">
        <v>8498.53</v>
      </c>
      <c r="O359" s="101">
        <v>1563.78</v>
      </c>
      <c r="P359" s="73">
        <f t="shared" si="70"/>
        <v>0</v>
      </c>
      <c r="Q359" s="73">
        <f t="shared" si="71"/>
        <v>0</v>
      </c>
      <c r="R359" s="74">
        <f t="shared" si="72"/>
        <v>0</v>
      </c>
      <c r="S359" s="74">
        <f t="shared" si="73"/>
        <v>1</v>
      </c>
      <c r="T359" s="75"/>
      <c r="V359" s="76"/>
      <c r="W359" s="77"/>
      <c r="X359" s="77"/>
      <c r="Y359" s="77"/>
      <c r="Z359" s="77"/>
      <c r="AA359" s="77"/>
      <c r="AB359" s="78"/>
      <c r="AC359" s="77"/>
      <c r="AD359" s="79"/>
      <c r="AE359" s="80"/>
      <c r="AF359" s="81"/>
      <c r="AG359" s="79"/>
      <c r="AH359" s="80"/>
      <c r="AI359" s="82"/>
      <c r="AJ359" s="82"/>
      <c r="AK359" s="83"/>
      <c r="AL359" s="84"/>
      <c r="AP359" s="85">
        <f t="shared" si="9"/>
        <v>1</v>
      </c>
      <c r="AQ359" s="20">
        <f t="shared" si="10"/>
        <v>1</v>
      </c>
      <c r="AR359" s="20">
        <f t="shared" si="11"/>
        <v>1</v>
      </c>
      <c r="AS359" s="86">
        <f t="shared" si="12"/>
        <v>10062.31</v>
      </c>
      <c r="AT359" s="87">
        <f t="shared" si="13"/>
        <v>35380.46</v>
      </c>
      <c r="AU359" s="88">
        <f t="shared" si="81"/>
        <v>12.4</v>
      </c>
      <c r="AV359" s="89" t="str">
        <f t="shared" si="15"/>
        <v>#VALUE!</v>
      </c>
      <c r="AW359" s="90" t="str">
        <f t="shared" si="16"/>
        <v>#VALUE!</v>
      </c>
      <c r="AY359" s="85">
        <f t="shared" si="17"/>
        <v>0</v>
      </c>
      <c r="AZ359" s="20">
        <f t="shared" si="18"/>
        <v>1</v>
      </c>
      <c r="BA359" s="20">
        <f t="shared" si="19"/>
        <v>0</v>
      </c>
      <c r="BB359" s="91">
        <f t="shared" si="20"/>
        <v>0</v>
      </c>
      <c r="BC359" s="87">
        <f t="shared" si="21"/>
        <v>0</v>
      </c>
      <c r="BD359" s="92">
        <f t="shared" si="22"/>
        <v>0</v>
      </c>
      <c r="BE359" s="89" t="str">
        <f t="shared" si="23"/>
        <v>#VALUE!</v>
      </c>
      <c r="BF359" s="90">
        <f t="shared" si="24"/>
        <v>0</v>
      </c>
      <c r="BH359" s="93">
        <f t="shared" si="25"/>
        <v>35380.46</v>
      </c>
      <c r="BI359" s="94">
        <f t="shared" si="26"/>
        <v>1</v>
      </c>
      <c r="BJ359" s="95" t="str">
        <f t="shared" si="27"/>
        <v>#VALUE!</v>
      </c>
      <c r="BK359" s="96" t="str">
        <f t="shared" si="28"/>
        <v>#VALUE!</v>
      </c>
      <c r="BM359" s="97">
        <f t="shared" si="29"/>
        <v>1</v>
      </c>
    </row>
    <row r="360" ht="12.75" customHeight="1">
      <c r="A360" s="65"/>
      <c r="B360" s="115" t="s">
        <v>723</v>
      </c>
      <c r="C360" s="106">
        <v>50000.0</v>
      </c>
      <c r="D360" s="68">
        <v>13.0</v>
      </c>
      <c r="E360" s="106">
        <v>38665.74</v>
      </c>
      <c r="F360" s="68" t="s">
        <v>56</v>
      </c>
      <c r="G360" s="100">
        <v>45477.0</v>
      </c>
      <c r="H360" s="70" t="s">
        <v>57</v>
      </c>
      <c r="I360" s="100">
        <v>45806.0</v>
      </c>
      <c r="J360" s="71">
        <f t="shared" si="99"/>
        <v>10.96666667</v>
      </c>
      <c r="K360" s="98" t="s">
        <v>724</v>
      </c>
      <c r="L360" s="72">
        <f>38665.74+24607.88</f>
        <v>63273.62</v>
      </c>
      <c r="M360" s="101">
        <v>972.48</v>
      </c>
      <c r="N360" s="101">
        <v>7742.14</v>
      </c>
      <c r="O360" s="101">
        <v>44.61</v>
      </c>
      <c r="P360" s="73">
        <f t="shared" si="70"/>
        <v>0</v>
      </c>
      <c r="Q360" s="73">
        <f t="shared" si="71"/>
        <v>0</v>
      </c>
      <c r="R360" s="74">
        <f t="shared" si="72"/>
        <v>0</v>
      </c>
      <c r="S360" s="74">
        <f t="shared" si="73"/>
        <v>1</v>
      </c>
      <c r="T360" s="75"/>
      <c r="V360" s="76"/>
      <c r="W360" s="77"/>
      <c r="X360" s="77"/>
      <c r="Y360" s="77"/>
      <c r="Z360" s="77"/>
      <c r="AA360" s="77"/>
      <c r="AB360" s="78"/>
      <c r="AC360" s="77"/>
      <c r="AD360" s="79"/>
      <c r="AE360" s="80"/>
      <c r="AF360" s="81"/>
      <c r="AG360" s="79"/>
      <c r="AH360" s="80"/>
      <c r="AI360" s="82"/>
      <c r="AJ360" s="82"/>
      <c r="AK360" s="83"/>
      <c r="AL360" s="84"/>
      <c r="AP360" s="85">
        <f t="shared" si="9"/>
        <v>1</v>
      </c>
      <c r="AQ360" s="20">
        <f t="shared" si="10"/>
        <v>1</v>
      </c>
      <c r="AR360" s="20">
        <f t="shared" si="11"/>
        <v>1</v>
      </c>
      <c r="AS360" s="86">
        <f t="shared" si="12"/>
        <v>7786.75</v>
      </c>
      <c r="AT360" s="87">
        <f t="shared" si="13"/>
        <v>38665.74</v>
      </c>
      <c r="AU360" s="88">
        <f t="shared" si="81"/>
        <v>10.96666667</v>
      </c>
      <c r="AV360" s="89" t="str">
        <f t="shared" si="15"/>
        <v>#VALUE!</v>
      </c>
      <c r="AW360" s="90" t="str">
        <f t="shared" si="16"/>
        <v>#VALUE!</v>
      </c>
      <c r="AY360" s="85">
        <f t="shared" si="17"/>
        <v>0</v>
      </c>
      <c r="AZ360" s="20">
        <f t="shared" si="18"/>
        <v>1</v>
      </c>
      <c r="BA360" s="20">
        <f t="shared" si="19"/>
        <v>0</v>
      </c>
      <c r="BB360" s="91">
        <f t="shared" si="20"/>
        <v>0</v>
      </c>
      <c r="BC360" s="87">
        <f t="shared" si="21"/>
        <v>0</v>
      </c>
      <c r="BD360" s="92">
        <f t="shared" si="22"/>
        <v>0</v>
      </c>
      <c r="BE360" s="89" t="str">
        <f t="shared" si="23"/>
        <v>#VALUE!</v>
      </c>
      <c r="BF360" s="90">
        <f t="shared" si="24"/>
        <v>0</v>
      </c>
      <c r="BH360" s="93">
        <f t="shared" si="25"/>
        <v>38665.74</v>
      </c>
      <c r="BI360" s="94">
        <f t="shared" si="26"/>
        <v>1</v>
      </c>
      <c r="BJ360" s="95" t="str">
        <f t="shared" si="27"/>
        <v>#VALUE!</v>
      </c>
      <c r="BK360" s="96" t="str">
        <f t="shared" si="28"/>
        <v>#VALUE!</v>
      </c>
      <c r="BM360" s="97">
        <f t="shared" si="29"/>
        <v>1</v>
      </c>
    </row>
    <row r="361" ht="12.75" customHeight="1">
      <c r="A361" s="65"/>
      <c r="B361" s="115" t="s">
        <v>725</v>
      </c>
      <c r="C361" s="106">
        <v>50000.0</v>
      </c>
      <c r="D361" s="68">
        <v>13.0</v>
      </c>
      <c r="E361" s="106">
        <v>39656.44</v>
      </c>
      <c r="F361" s="68" t="s">
        <v>56</v>
      </c>
      <c r="G361" s="100">
        <v>45492.0</v>
      </c>
      <c r="H361" s="70" t="s">
        <v>57</v>
      </c>
      <c r="I361" s="116">
        <v>46054.0</v>
      </c>
      <c r="J361" s="71">
        <f t="shared" si="99"/>
        <v>18.73333333</v>
      </c>
      <c r="K361" s="98" t="s">
        <v>726</v>
      </c>
      <c r="L361" s="98">
        <v>55000.0</v>
      </c>
      <c r="M361" s="73"/>
      <c r="N361" s="73"/>
      <c r="O361" s="73"/>
      <c r="P361" s="73">
        <f t="shared" si="70"/>
        <v>0</v>
      </c>
      <c r="Q361" s="73">
        <f t="shared" si="71"/>
        <v>0</v>
      </c>
      <c r="R361" s="74">
        <f t="shared" si="72"/>
        <v>0</v>
      </c>
      <c r="S361" s="74">
        <f t="shared" si="73"/>
        <v>1</v>
      </c>
      <c r="T361" s="75"/>
      <c r="V361" s="76"/>
      <c r="W361" s="77"/>
      <c r="X361" s="77"/>
      <c r="Y361" s="77"/>
      <c r="Z361" s="77"/>
      <c r="AA361" s="77"/>
      <c r="AB361" s="78"/>
      <c r="AC361" s="77"/>
      <c r="AD361" s="79"/>
      <c r="AE361" s="80"/>
      <c r="AF361" s="81"/>
      <c r="AG361" s="79"/>
      <c r="AH361" s="80"/>
      <c r="AI361" s="82"/>
      <c r="AJ361" s="82"/>
      <c r="AK361" s="83"/>
      <c r="AL361" s="84"/>
      <c r="AP361" s="85">
        <f t="shared" si="9"/>
        <v>1</v>
      </c>
      <c r="AQ361" s="20">
        <f t="shared" si="10"/>
        <v>1</v>
      </c>
      <c r="AR361" s="20">
        <f t="shared" si="11"/>
        <v>1</v>
      </c>
      <c r="AS361" s="86">
        <f t="shared" si="12"/>
        <v>0</v>
      </c>
      <c r="AT361" s="87">
        <f t="shared" si="13"/>
        <v>39656.44</v>
      </c>
      <c r="AU361" s="88">
        <f t="shared" si="81"/>
        <v>18.73333333</v>
      </c>
      <c r="AV361" s="89" t="str">
        <f t="shared" si="15"/>
        <v>#VALUE!</v>
      </c>
      <c r="AW361" s="90" t="str">
        <f t="shared" si="16"/>
        <v>#VALUE!</v>
      </c>
      <c r="AY361" s="85">
        <f t="shared" si="17"/>
        <v>0</v>
      </c>
      <c r="AZ361" s="20">
        <f t="shared" si="18"/>
        <v>1</v>
      </c>
      <c r="BA361" s="20">
        <f t="shared" si="19"/>
        <v>0</v>
      </c>
      <c r="BB361" s="91">
        <f t="shared" si="20"/>
        <v>0</v>
      </c>
      <c r="BC361" s="87">
        <f t="shared" si="21"/>
        <v>0</v>
      </c>
      <c r="BD361" s="92">
        <f t="shared" si="22"/>
        <v>0</v>
      </c>
      <c r="BE361" s="89" t="str">
        <f t="shared" si="23"/>
        <v>#VALUE!</v>
      </c>
      <c r="BF361" s="90">
        <f t="shared" si="24"/>
        <v>0</v>
      </c>
      <c r="BH361" s="93">
        <f t="shared" si="25"/>
        <v>39656.44</v>
      </c>
      <c r="BI361" s="94">
        <f t="shared" si="26"/>
        <v>1</v>
      </c>
      <c r="BJ361" s="95" t="str">
        <f t="shared" si="27"/>
        <v>#VALUE!</v>
      </c>
      <c r="BK361" s="96" t="str">
        <f t="shared" si="28"/>
        <v>#VALUE!</v>
      </c>
      <c r="BM361" s="97">
        <f t="shared" si="29"/>
        <v>1</v>
      </c>
    </row>
    <row r="362" ht="12.75" customHeight="1">
      <c r="A362" s="65"/>
      <c r="B362" s="115" t="s">
        <v>727</v>
      </c>
      <c r="C362" s="106">
        <v>49906.4</v>
      </c>
      <c r="D362" s="68">
        <v>13.0</v>
      </c>
      <c r="E362" s="106">
        <v>37128.98</v>
      </c>
      <c r="F362" s="68" t="s">
        <v>64</v>
      </c>
      <c r="G362" s="100">
        <v>45503.0</v>
      </c>
      <c r="H362" s="70" t="s">
        <v>57</v>
      </c>
      <c r="I362" s="100">
        <v>45744.0</v>
      </c>
      <c r="J362" s="71">
        <f t="shared" si="99"/>
        <v>8.033333333</v>
      </c>
      <c r="K362" s="98" t="s">
        <v>728</v>
      </c>
      <c r="L362" s="98">
        <v>52500.0</v>
      </c>
      <c r="M362" s="101">
        <v>321.3</v>
      </c>
      <c r="N362" s="101">
        <v>9146.99</v>
      </c>
      <c r="O362" s="101">
        <v>2571.13</v>
      </c>
      <c r="P362" s="73">
        <f t="shared" si="70"/>
        <v>0</v>
      </c>
      <c r="Q362" s="73">
        <f t="shared" si="71"/>
        <v>0</v>
      </c>
      <c r="R362" s="74">
        <f t="shared" si="72"/>
        <v>0</v>
      </c>
      <c r="S362" s="74">
        <f t="shared" si="73"/>
        <v>1</v>
      </c>
      <c r="T362" s="75"/>
      <c r="V362" s="76"/>
      <c r="W362" s="77"/>
      <c r="X362" s="77"/>
      <c r="Y362" s="77"/>
      <c r="Z362" s="77"/>
      <c r="AA362" s="77"/>
      <c r="AB362" s="78"/>
      <c r="AC362" s="77"/>
      <c r="AD362" s="79"/>
      <c r="AE362" s="80"/>
      <c r="AF362" s="81"/>
      <c r="AG362" s="79"/>
      <c r="AH362" s="80"/>
      <c r="AI362" s="82"/>
      <c r="AJ362" s="82"/>
      <c r="AK362" s="83"/>
      <c r="AL362" s="84"/>
      <c r="AP362" s="85">
        <f t="shared" si="9"/>
        <v>0</v>
      </c>
      <c r="AQ362" s="20">
        <f t="shared" si="10"/>
        <v>1</v>
      </c>
      <c r="AR362" s="20">
        <f t="shared" si="11"/>
        <v>0</v>
      </c>
      <c r="AS362" s="86">
        <f t="shared" si="12"/>
        <v>0</v>
      </c>
      <c r="AT362" s="87">
        <f t="shared" si="13"/>
        <v>0</v>
      </c>
      <c r="AU362" s="88">
        <f t="shared" si="81"/>
        <v>0</v>
      </c>
      <c r="AV362" s="89" t="str">
        <f t="shared" si="15"/>
        <v>#VALUE!</v>
      </c>
      <c r="AW362" s="90">
        <f t="shared" si="16"/>
        <v>0</v>
      </c>
      <c r="AY362" s="85">
        <f t="shared" si="17"/>
        <v>1</v>
      </c>
      <c r="AZ362" s="20">
        <f t="shared" si="18"/>
        <v>1</v>
      </c>
      <c r="BA362" s="20">
        <f t="shared" si="19"/>
        <v>1</v>
      </c>
      <c r="BB362" s="91">
        <f t="shared" si="20"/>
        <v>11718.12</v>
      </c>
      <c r="BC362" s="87">
        <f t="shared" si="21"/>
        <v>37128.98</v>
      </c>
      <c r="BD362" s="92">
        <f t="shared" si="22"/>
        <v>8.033333333</v>
      </c>
      <c r="BE362" s="89" t="str">
        <f t="shared" si="23"/>
        <v>#VALUE!</v>
      </c>
      <c r="BF362" s="90" t="str">
        <f t="shared" si="24"/>
        <v>#VALUE!</v>
      </c>
      <c r="BH362" s="93">
        <f t="shared" si="25"/>
        <v>37128.98</v>
      </c>
      <c r="BI362" s="94">
        <f t="shared" si="26"/>
        <v>1</v>
      </c>
      <c r="BJ362" s="95" t="str">
        <f t="shared" si="27"/>
        <v>#VALUE!</v>
      </c>
      <c r="BK362" s="96" t="str">
        <f t="shared" si="28"/>
        <v>#VALUE!</v>
      </c>
      <c r="BM362" s="97">
        <f t="shared" si="29"/>
        <v>1</v>
      </c>
    </row>
    <row r="363" ht="12.75" customHeight="1">
      <c r="A363" s="65"/>
      <c r="B363" s="115" t="s">
        <v>729</v>
      </c>
      <c r="C363" s="106">
        <v>39599.38</v>
      </c>
      <c r="D363" s="68">
        <v>13.0</v>
      </c>
      <c r="E363" s="106">
        <v>34519.8</v>
      </c>
      <c r="F363" s="68" t="s">
        <v>64</v>
      </c>
      <c r="G363" s="100">
        <v>45476.0</v>
      </c>
      <c r="H363" s="71" t="s">
        <v>57</v>
      </c>
      <c r="I363" s="100">
        <v>45559.0</v>
      </c>
      <c r="J363" s="71">
        <f t="shared" si="99"/>
        <v>2.766666667</v>
      </c>
      <c r="K363" s="98" t="s">
        <v>730</v>
      </c>
      <c r="L363" s="98">
        <v>42500.0</v>
      </c>
      <c r="M363" s="73">
        <v>480.92999999999995</v>
      </c>
      <c r="N363" s="113">
        <v>6201.679999999999</v>
      </c>
      <c r="O363" s="101">
        <v>0.0</v>
      </c>
      <c r="P363" s="73">
        <f t="shared" si="70"/>
        <v>0</v>
      </c>
      <c r="Q363" s="73">
        <f t="shared" si="71"/>
        <v>0</v>
      </c>
      <c r="R363" s="74">
        <f t="shared" si="72"/>
        <v>0</v>
      </c>
      <c r="S363" s="74">
        <f t="shared" si="73"/>
        <v>1</v>
      </c>
      <c r="T363" s="75"/>
      <c r="V363" s="76"/>
      <c r="W363" s="77"/>
      <c r="X363" s="77"/>
      <c r="Y363" s="77"/>
      <c r="Z363" s="77"/>
      <c r="AA363" s="77"/>
      <c r="AB363" s="78"/>
      <c r="AC363" s="77"/>
      <c r="AD363" s="79"/>
      <c r="AE363" s="80"/>
      <c r="AF363" s="81"/>
      <c r="AG363" s="79"/>
      <c r="AH363" s="80"/>
      <c r="AI363" s="82"/>
      <c r="AJ363" s="82"/>
      <c r="AK363" s="83"/>
      <c r="AL363" s="84"/>
      <c r="AP363" s="85">
        <f t="shared" si="9"/>
        <v>0</v>
      </c>
      <c r="AQ363" s="20">
        <f t="shared" si="10"/>
        <v>1</v>
      </c>
      <c r="AR363" s="20">
        <f t="shared" si="11"/>
        <v>0</v>
      </c>
      <c r="AS363" s="86">
        <f t="shared" si="12"/>
        <v>0</v>
      </c>
      <c r="AT363" s="87">
        <f t="shared" si="13"/>
        <v>0</v>
      </c>
      <c r="AU363" s="88">
        <f t="shared" si="81"/>
        <v>0</v>
      </c>
      <c r="AV363" s="89" t="str">
        <f t="shared" si="15"/>
        <v>#VALUE!</v>
      </c>
      <c r="AW363" s="90">
        <f t="shared" si="16"/>
        <v>0</v>
      </c>
      <c r="AY363" s="85">
        <f t="shared" si="17"/>
        <v>1</v>
      </c>
      <c r="AZ363" s="20">
        <f t="shared" si="18"/>
        <v>1</v>
      </c>
      <c r="BA363" s="20">
        <f t="shared" si="19"/>
        <v>1</v>
      </c>
      <c r="BB363" s="91">
        <f t="shared" si="20"/>
        <v>6201.68</v>
      </c>
      <c r="BC363" s="87">
        <f t="shared" si="21"/>
        <v>34519.8</v>
      </c>
      <c r="BD363" s="92">
        <f t="shared" si="22"/>
        <v>2.766666667</v>
      </c>
      <c r="BE363" s="89" t="str">
        <f t="shared" si="23"/>
        <v>#VALUE!</v>
      </c>
      <c r="BF363" s="90" t="str">
        <f t="shared" si="24"/>
        <v>#VALUE!</v>
      </c>
      <c r="BH363" s="93">
        <f t="shared" si="25"/>
        <v>34519.8</v>
      </c>
      <c r="BI363" s="94">
        <f t="shared" si="26"/>
        <v>1</v>
      </c>
      <c r="BJ363" s="95" t="str">
        <f t="shared" si="27"/>
        <v>#VALUE!</v>
      </c>
      <c r="BK363" s="96" t="str">
        <f t="shared" si="28"/>
        <v>#VALUE!</v>
      </c>
      <c r="BM363" s="97">
        <f t="shared" si="29"/>
        <v>1</v>
      </c>
    </row>
    <row r="364" ht="12.75" customHeight="1">
      <c r="A364" s="65"/>
      <c r="B364" s="115" t="s">
        <v>731</v>
      </c>
      <c r="C364" s="106">
        <f>6135.8+48250</f>
        <v>54385.8</v>
      </c>
      <c r="D364" s="68">
        <v>13.0</v>
      </c>
      <c r="E364" s="106">
        <v>50903.4</v>
      </c>
      <c r="F364" s="68" t="s">
        <v>64</v>
      </c>
      <c r="G364" s="100">
        <v>45476.0</v>
      </c>
      <c r="H364" s="71" t="s">
        <v>543</v>
      </c>
      <c r="I364" s="69" t="s">
        <v>181</v>
      </c>
      <c r="J364" s="71" t="str">
        <f t="shared" si="99"/>
        <v>N/A</v>
      </c>
      <c r="K364" s="72" t="s">
        <v>181</v>
      </c>
      <c r="L364" s="72" t="s">
        <v>181</v>
      </c>
      <c r="M364" s="73"/>
      <c r="N364" s="73"/>
      <c r="O364" s="73"/>
      <c r="P364" s="73">
        <f t="shared" si="70"/>
        <v>0</v>
      </c>
      <c r="Q364" s="73">
        <f t="shared" si="71"/>
        <v>0</v>
      </c>
      <c r="R364" s="74" t="str">
        <f t="shared" si="72"/>
        <v>N/A</v>
      </c>
      <c r="S364" s="74" t="str">
        <f t="shared" si="73"/>
        <v>N/A</v>
      </c>
      <c r="T364" s="75"/>
      <c r="V364" s="76"/>
      <c r="W364" s="77"/>
      <c r="X364" s="77"/>
      <c r="Y364" s="77"/>
      <c r="Z364" s="77"/>
      <c r="AA364" s="77"/>
      <c r="AB364" s="78"/>
      <c r="AC364" s="77"/>
      <c r="AD364" s="79"/>
      <c r="AE364" s="80"/>
      <c r="AF364" s="81"/>
      <c r="AG364" s="79"/>
      <c r="AH364" s="80"/>
      <c r="AI364" s="82"/>
      <c r="AJ364" s="82"/>
      <c r="AK364" s="83"/>
      <c r="AL364" s="84"/>
      <c r="AP364" s="85">
        <f t="shared" si="9"/>
        <v>0</v>
      </c>
      <c r="AQ364" s="20">
        <f t="shared" si="10"/>
        <v>0</v>
      </c>
      <c r="AR364" s="20">
        <f t="shared" si="11"/>
        <v>0</v>
      </c>
      <c r="AS364" s="86">
        <f t="shared" si="12"/>
        <v>0</v>
      </c>
      <c r="AT364" s="87">
        <f t="shared" si="13"/>
        <v>0</v>
      </c>
      <c r="AU364" s="88">
        <f t="shared" si="81"/>
        <v>0</v>
      </c>
      <c r="AV364" s="89" t="str">
        <f t="shared" si="15"/>
        <v>#VALUE!</v>
      </c>
      <c r="AW364" s="90">
        <f t="shared" si="16"/>
        <v>0</v>
      </c>
      <c r="AY364" s="85">
        <f t="shared" si="17"/>
        <v>1</v>
      </c>
      <c r="AZ364" s="20">
        <f t="shared" si="18"/>
        <v>0</v>
      </c>
      <c r="BA364" s="20">
        <f t="shared" si="19"/>
        <v>0</v>
      </c>
      <c r="BB364" s="91">
        <f t="shared" si="20"/>
        <v>0</v>
      </c>
      <c r="BC364" s="87">
        <f t="shared" si="21"/>
        <v>0</v>
      </c>
      <c r="BD364" s="92">
        <f t="shared" si="22"/>
        <v>0</v>
      </c>
      <c r="BE364" s="89" t="str">
        <f t="shared" si="23"/>
        <v>#VALUE!</v>
      </c>
      <c r="BF364" s="90">
        <f t="shared" si="24"/>
        <v>0</v>
      </c>
      <c r="BH364" s="93">
        <f t="shared" si="25"/>
        <v>0</v>
      </c>
      <c r="BI364" s="94">
        <f t="shared" si="26"/>
        <v>0</v>
      </c>
      <c r="BJ364" s="95" t="str">
        <f t="shared" si="27"/>
        <v>#VALUE!</v>
      </c>
      <c r="BK364" s="96">
        <f t="shared" si="28"/>
        <v>0</v>
      </c>
      <c r="BM364" s="97">
        <f t="shared" si="29"/>
        <v>1</v>
      </c>
    </row>
    <row r="365" ht="12.75" customHeight="1">
      <c r="A365" s="65"/>
      <c r="B365" s="115" t="s">
        <v>732</v>
      </c>
      <c r="C365" s="106">
        <v>47520.0</v>
      </c>
      <c r="D365" s="68">
        <v>13.0</v>
      </c>
      <c r="E365" s="67">
        <v>35061.28</v>
      </c>
      <c r="F365" s="68" t="s">
        <v>64</v>
      </c>
      <c r="G365" s="69">
        <v>45386.0</v>
      </c>
      <c r="H365" s="71" t="s">
        <v>57</v>
      </c>
      <c r="I365" s="69">
        <v>45471.0</v>
      </c>
      <c r="J365" s="71">
        <f t="shared" si="99"/>
        <v>2.833333333</v>
      </c>
      <c r="K365" s="72" t="s">
        <v>733</v>
      </c>
      <c r="L365" s="72">
        <v>46500.0</v>
      </c>
      <c r="M365" s="73">
        <v>65.78999999999999</v>
      </c>
      <c r="N365" s="113">
        <v>10315.509999999998</v>
      </c>
      <c r="O365" s="101">
        <v>1299.72</v>
      </c>
      <c r="P365" s="73">
        <f t="shared" si="70"/>
        <v>0</v>
      </c>
      <c r="Q365" s="73">
        <f t="shared" si="71"/>
        <v>242.3</v>
      </c>
      <c r="R365" s="74">
        <f t="shared" si="72"/>
        <v>0.006910757394</v>
      </c>
      <c r="S365" s="74">
        <f t="shared" si="73"/>
        <v>0.9930892426</v>
      </c>
      <c r="T365" s="75"/>
      <c r="V365" s="76"/>
      <c r="W365" s="77"/>
      <c r="X365" s="77"/>
      <c r="Y365" s="77"/>
      <c r="Z365" s="77"/>
      <c r="AA365" s="77"/>
      <c r="AB365" s="78"/>
      <c r="AC365" s="77"/>
      <c r="AD365" s="79"/>
      <c r="AE365" s="80"/>
      <c r="AF365" s="81"/>
      <c r="AG365" s="79"/>
      <c r="AH365" s="80"/>
      <c r="AI365" s="82"/>
      <c r="AJ365" s="82"/>
      <c r="AK365" s="83"/>
      <c r="AL365" s="84"/>
      <c r="AP365" s="85">
        <f t="shared" si="9"/>
        <v>0</v>
      </c>
      <c r="AQ365" s="20">
        <f t="shared" si="10"/>
        <v>1</v>
      </c>
      <c r="AR365" s="20">
        <f t="shared" si="11"/>
        <v>0</v>
      </c>
      <c r="AS365" s="86">
        <f t="shared" si="12"/>
        <v>0</v>
      </c>
      <c r="AT365" s="87">
        <f t="shared" si="13"/>
        <v>0</v>
      </c>
      <c r="AU365" s="88">
        <f t="shared" si="81"/>
        <v>0</v>
      </c>
      <c r="AV365" s="89" t="str">
        <f t="shared" si="15"/>
        <v>#VALUE!</v>
      </c>
      <c r="AW365" s="90">
        <f t="shared" si="16"/>
        <v>0</v>
      </c>
      <c r="AY365" s="85">
        <f t="shared" si="17"/>
        <v>1</v>
      </c>
      <c r="AZ365" s="20">
        <f t="shared" si="18"/>
        <v>1</v>
      </c>
      <c r="BA365" s="20">
        <f t="shared" si="19"/>
        <v>1</v>
      </c>
      <c r="BB365" s="91">
        <f t="shared" si="20"/>
        <v>11615.23</v>
      </c>
      <c r="BC365" s="87">
        <f t="shared" si="21"/>
        <v>35061.28</v>
      </c>
      <c r="BD365" s="92">
        <f t="shared" si="22"/>
        <v>2.833333333</v>
      </c>
      <c r="BE365" s="89" t="str">
        <f t="shared" si="23"/>
        <v>#VALUE!</v>
      </c>
      <c r="BF365" s="90" t="str">
        <f t="shared" si="24"/>
        <v>#VALUE!</v>
      </c>
      <c r="BH365" s="93">
        <f t="shared" si="25"/>
        <v>35061.28</v>
      </c>
      <c r="BI365" s="94">
        <f t="shared" si="26"/>
        <v>1</v>
      </c>
      <c r="BJ365" s="95" t="str">
        <f t="shared" si="27"/>
        <v>#VALUE!</v>
      </c>
      <c r="BK365" s="96" t="str">
        <f t="shared" si="28"/>
        <v>#VALUE!</v>
      </c>
      <c r="BM365" s="97">
        <f t="shared" si="29"/>
        <v>1</v>
      </c>
    </row>
    <row r="366" ht="12.75" customHeight="1">
      <c r="A366" s="65"/>
      <c r="B366" s="115" t="s">
        <v>734</v>
      </c>
      <c r="C366" s="106">
        <v>40490.19</v>
      </c>
      <c r="D366" s="68">
        <v>13.0</v>
      </c>
      <c r="E366" s="106">
        <v>38303.11</v>
      </c>
      <c r="F366" s="68" t="s">
        <v>64</v>
      </c>
      <c r="G366" s="100">
        <v>45509.0</v>
      </c>
      <c r="H366" s="70" t="s">
        <v>57</v>
      </c>
      <c r="I366" s="100">
        <v>45687.0</v>
      </c>
      <c r="J366" s="71">
        <f t="shared" si="99"/>
        <v>5.933333333</v>
      </c>
      <c r="K366" s="98" t="s">
        <v>735</v>
      </c>
      <c r="L366" s="98">
        <v>42000.0</v>
      </c>
      <c r="M366" s="73">
        <f>53.53+25.74+37.98+40.8+35.4+55.5</f>
        <v>248.95</v>
      </c>
      <c r="N366" s="73">
        <f>1135+202.75+275+719.05+2789.76+267.03+67+283.15+30+278+16+112+85.43+2100+101.43+85</f>
        <v>8546.6</v>
      </c>
      <c r="O366" s="101">
        <v>2159.0</v>
      </c>
      <c r="P366" s="73">
        <f t="shared" si="70"/>
        <v>0</v>
      </c>
      <c r="Q366" s="73">
        <f t="shared" si="71"/>
        <v>7257.66</v>
      </c>
      <c r="R366" s="74">
        <f t="shared" si="72"/>
        <v>0.1894796532</v>
      </c>
      <c r="S366" s="74">
        <f t="shared" si="73"/>
        <v>0.8105203468</v>
      </c>
      <c r="T366" s="75"/>
      <c r="V366" s="76"/>
      <c r="W366" s="77"/>
      <c r="X366" s="77"/>
      <c r="Y366" s="77"/>
      <c r="Z366" s="77"/>
      <c r="AA366" s="77"/>
      <c r="AB366" s="78"/>
      <c r="AC366" s="77"/>
      <c r="AD366" s="79"/>
      <c r="AE366" s="80"/>
      <c r="AF366" s="81"/>
      <c r="AG366" s="79"/>
      <c r="AH366" s="80"/>
      <c r="AI366" s="82"/>
      <c r="AJ366" s="82"/>
      <c r="AK366" s="83"/>
      <c r="AL366" s="84"/>
      <c r="AP366" s="85">
        <f t="shared" si="9"/>
        <v>0</v>
      </c>
      <c r="AQ366" s="20">
        <f t="shared" si="10"/>
        <v>1</v>
      </c>
      <c r="AR366" s="20">
        <f t="shared" si="11"/>
        <v>0</v>
      </c>
      <c r="AS366" s="86">
        <f t="shared" si="12"/>
        <v>0</v>
      </c>
      <c r="AT366" s="87">
        <f t="shared" si="13"/>
        <v>0</v>
      </c>
      <c r="AU366" s="88">
        <f t="shared" si="81"/>
        <v>0</v>
      </c>
      <c r="AV366" s="89" t="str">
        <f t="shared" si="15"/>
        <v>#VALUE!</v>
      </c>
      <c r="AW366" s="90">
        <f t="shared" si="16"/>
        <v>0</v>
      </c>
      <c r="AY366" s="85">
        <f t="shared" si="17"/>
        <v>1</v>
      </c>
      <c r="AZ366" s="20">
        <f t="shared" si="18"/>
        <v>1</v>
      </c>
      <c r="BA366" s="20">
        <f t="shared" si="19"/>
        <v>1</v>
      </c>
      <c r="BB366" s="91">
        <f t="shared" si="20"/>
        <v>10705.6</v>
      </c>
      <c r="BC366" s="87">
        <f t="shared" si="21"/>
        <v>38303.11</v>
      </c>
      <c r="BD366" s="92">
        <f t="shared" si="22"/>
        <v>5.933333333</v>
      </c>
      <c r="BE366" s="89" t="str">
        <f t="shared" si="23"/>
        <v>#VALUE!</v>
      </c>
      <c r="BF366" s="90" t="str">
        <f t="shared" si="24"/>
        <v>#VALUE!</v>
      </c>
      <c r="BH366" s="93">
        <f t="shared" si="25"/>
        <v>38303.11</v>
      </c>
      <c r="BI366" s="94">
        <f t="shared" si="26"/>
        <v>1</v>
      </c>
      <c r="BJ366" s="95" t="str">
        <f t="shared" si="27"/>
        <v>#VALUE!</v>
      </c>
      <c r="BK366" s="96" t="str">
        <f t="shared" si="28"/>
        <v>#VALUE!</v>
      </c>
      <c r="BM366" s="97">
        <f t="shared" si="29"/>
        <v>1</v>
      </c>
    </row>
    <row r="367" ht="12.75" customHeight="1">
      <c r="A367" s="65"/>
      <c r="B367" s="115" t="s">
        <v>736</v>
      </c>
      <c r="C367" s="106">
        <v>40494.95</v>
      </c>
      <c r="D367" s="68">
        <v>13.0</v>
      </c>
      <c r="E367" s="106">
        <v>39120.38</v>
      </c>
      <c r="F367" s="68" t="s">
        <v>64</v>
      </c>
      <c r="G367" s="100">
        <v>45527.0</v>
      </c>
      <c r="H367" s="71" t="s">
        <v>543</v>
      </c>
      <c r="I367" s="69" t="s">
        <v>181</v>
      </c>
      <c r="J367" s="71" t="str">
        <f t="shared" si="99"/>
        <v>N/A</v>
      </c>
      <c r="K367" s="72" t="s">
        <v>181</v>
      </c>
      <c r="L367" s="72" t="s">
        <v>181</v>
      </c>
      <c r="M367" s="73"/>
      <c r="N367" s="73"/>
      <c r="O367" s="73"/>
      <c r="P367" s="73">
        <f t="shared" si="70"/>
        <v>0</v>
      </c>
      <c r="Q367" s="73">
        <f t="shared" si="71"/>
        <v>0</v>
      </c>
      <c r="R367" s="74" t="str">
        <f t="shared" si="72"/>
        <v>N/A</v>
      </c>
      <c r="S367" s="74" t="str">
        <f t="shared" si="73"/>
        <v>N/A</v>
      </c>
      <c r="T367" s="75"/>
      <c r="V367" s="76"/>
      <c r="W367" s="77"/>
      <c r="X367" s="77"/>
      <c r="Y367" s="77"/>
      <c r="Z367" s="77"/>
      <c r="AA367" s="77"/>
      <c r="AB367" s="78"/>
      <c r="AC367" s="77"/>
      <c r="AD367" s="79"/>
      <c r="AE367" s="80"/>
      <c r="AF367" s="81"/>
      <c r="AG367" s="79"/>
      <c r="AH367" s="80"/>
      <c r="AI367" s="82"/>
      <c r="AJ367" s="82"/>
      <c r="AK367" s="83"/>
      <c r="AL367" s="84"/>
      <c r="AP367" s="85">
        <f t="shared" si="9"/>
        <v>0</v>
      </c>
      <c r="AQ367" s="20">
        <f t="shared" si="10"/>
        <v>0</v>
      </c>
      <c r="AR367" s="20">
        <f t="shared" si="11"/>
        <v>0</v>
      </c>
      <c r="AS367" s="86">
        <f t="shared" si="12"/>
        <v>0</v>
      </c>
      <c r="AT367" s="87">
        <f t="shared" si="13"/>
        <v>0</v>
      </c>
      <c r="AU367" s="88">
        <f t="shared" si="81"/>
        <v>0</v>
      </c>
      <c r="AV367" s="89" t="str">
        <f t="shared" si="15"/>
        <v>#VALUE!</v>
      </c>
      <c r="AW367" s="90">
        <f t="shared" si="16"/>
        <v>0</v>
      </c>
      <c r="AY367" s="85">
        <f t="shared" si="17"/>
        <v>1</v>
      </c>
      <c r="AZ367" s="20">
        <f t="shared" si="18"/>
        <v>0</v>
      </c>
      <c r="BA367" s="20">
        <f t="shared" si="19"/>
        <v>0</v>
      </c>
      <c r="BB367" s="91">
        <f t="shared" si="20"/>
        <v>0</v>
      </c>
      <c r="BC367" s="87">
        <f t="shared" si="21"/>
        <v>0</v>
      </c>
      <c r="BD367" s="92">
        <f t="shared" si="22"/>
        <v>0</v>
      </c>
      <c r="BE367" s="89" t="str">
        <f t="shared" si="23"/>
        <v>#VALUE!</v>
      </c>
      <c r="BF367" s="90">
        <f t="shared" si="24"/>
        <v>0</v>
      </c>
      <c r="BH367" s="93">
        <f t="shared" si="25"/>
        <v>0</v>
      </c>
      <c r="BI367" s="94">
        <f t="shared" si="26"/>
        <v>0</v>
      </c>
      <c r="BJ367" s="95" t="str">
        <f t="shared" si="27"/>
        <v>#VALUE!</v>
      </c>
      <c r="BK367" s="96">
        <f t="shared" si="28"/>
        <v>0</v>
      </c>
      <c r="BM367" s="97">
        <f t="shared" si="29"/>
        <v>1</v>
      </c>
    </row>
    <row r="368" ht="12.75" customHeight="1">
      <c r="A368" s="65"/>
      <c r="B368" s="66" t="s">
        <v>737</v>
      </c>
      <c r="C368" s="106">
        <v>40375.95</v>
      </c>
      <c r="D368" s="99">
        <v>13.0</v>
      </c>
      <c r="E368" s="106">
        <v>40059.15</v>
      </c>
      <c r="F368" s="68" t="s">
        <v>56</v>
      </c>
      <c r="G368" s="100">
        <v>45527.0</v>
      </c>
      <c r="H368" s="70" t="s">
        <v>57</v>
      </c>
      <c r="I368" s="100">
        <v>45776.0</v>
      </c>
      <c r="J368" s="71">
        <f t="shared" si="99"/>
        <v>8.3</v>
      </c>
      <c r="K368" s="98" t="s">
        <v>738</v>
      </c>
      <c r="L368" s="98">
        <v>43000.0</v>
      </c>
      <c r="M368" s="101">
        <v>1966.8</v>
      </c>
      <c r="N368" s="101">
        <v>9206.98</v>
      </c>
      <c r="O368" s="101">
        <v>0.0</v>
      </c>
      <c r="P368" s="73">
        <f t="shared" si="70"/>
        <v>0</v>
      </c>
      <c r="Q368" s="73">
        <f t="shared" si="71"/>
        <v>8232.93</v>
      </c>
      <c r="R368" s="74">
        <f t="shared" si="72"/>
        <v>0.2055193383</v>
      </c>
      <c r="S368" s="74">
        <f t="shared" si="73"/>
        <v>0.7944806617</v>
      </c>
      <c r="T368" s="75"/>
      <c r="V368" s="76"/>
      <c r="W368" s="77"/>
      <c r="X368" s="77"/>
      <c r="Y368" s="77"/>
      <c r="Z368" s="77"/>
      <c r="AA368" s="77"/>
      <c r="AB368" s="78"/>
      <c r="AC368" s="77"/>
      <c r="AD368" s="79"/>
      <c r="AE368" s="80"/>
      <c r="AF368" s="81"/>
      <c r="AG368" s="79"/>
      <c r="AH368" s="80"/>
      <c r="AI368" s="82"/>
      <c r="AJ368" s="82"/>
      <c r="AK368" s="83"/>
      <c r="AL368" s="84"/>
      <c r="AP368" s="85">
        <f t="shared" si="9"/>
        <v>1</v>
      </c>
      <c r="AQ368" s="20">
        <f t="shared" si="10"/>
        <v>1</v>
      </c>
      <c r="AR368" s="20">
        <f t="shared" si="11"/>
        <v>1</v>
      </c>
      <c r="AS368" s="86">
        <f t="shared" si="12"/>
        <v>9206.98</v>
      </c>
      <c r="AT368" s="87">
        <f t="shared" si="13"/>
        <v>40059.15</v>
      </c>
      <c r="AU368" s="88">
        <f t="shared" si="81"/>
        <v>8.3</v>
      </c>
      <c r="AV368" s="89" t="str">
        <f t="shared" si="15"/>
        <v>#VALUE!</v>
      </c>
      <c r="AW368" s="90" t="str">
        <f t="shared" si="16"/>
        <v>#VALUE!</v>
      </c>
      <c r="AY368" s="85">
        <f t="shared" si="17"/>
        <v>0</v>
      </c>
      <c r="AZ368" s="20">
        <f t="shared" si="18"/>
        <v>1</v>
      </c>
      <c r="BA368" s="20">
        <f t="shared" si="19"/>
        <v>0</v>
      </c>
      <c r="BB368" s="91">
        <f t="shared" si="20"/>
        <v>0</v>
      </c>
      <c r="BC368" s="87">
        <f t="shared" si="21"/>
        <v>0</v>
      </c>
      <c r="BD368" s="92">
        <f t="shared" si="22"/>
        <v>0</v>
      </c>
      <c r="BE368" s="89" t="str">
        <f t="shared" si="23"/>
        <v>#VALUE!</v>
      </c>
      <c r="BF368" s="90">
        <f t="shared" si="24"/>
        <v>0</v>
      </c>
      <c r="BH368" s="93">
        <f t="shared" si="25"/>
        <v>40059.15</v>
      </c>
      <c r="BI368" s="94">
        <f t="shared" si="26"/>
        <v>1</v>
      </c>
      <c r="BJ368" s="95" t="str">
        <f t="shared" si="27"/>
        <v>#VALUE!</v>
      </c>
      <c r="BK368" s="96" t="str">
        <f t="shared" si="28"/>
        <v>#VALUE!</v>
      </c>
      <c r="BM368" s="97">
        <f t="shared" si="29"/>
        <v>1</v>
      </c>
    </row>
    <row r="369" ht="12.75" customHeight="1">
      <c r="A369" s="65"/>
      <c r="B369" s="66" t="s">
        <v>739</v>
      </c>
      <c r="C369" s="106">
        <v>37799.02</v>
      </c>
      <c r="D369" s="99">
        <v>13.0</v>
      </c>
      <c r="E369" s="106">
        <v>27555.9</v>
      </c>
      <c r="F369" s="68" t="s">
        <v>64</v>
      </c>
      <c r="G369" s="100">
        <v>45575.0</v>
      </c>
      <c r="H369" s="70" t="s">
        <v>57</v>
      </c>
      <c r="I369" s="100">
        <v>45782.0</v>
      </c>
      <c r="J369" s="71">
        <v>10.633333333333333</v>
      </c>
      <c r="K369" s="98" t="s">
        <v>740</v>
      </c>
      <c r="L369" s="72">
        <v>38500.0</v>
      </c>
      <c r="M369" s="101">
        <v>1664.31</v>
      </c>
      <c r="N369" s="101">
        <v>9206.98</v>
      </c>
      <c r="O369" s="73"/>
      <c r="P369" s="73">
        <f t="shared" si="70"/>
        <v>0</v>
      </c>
      <c r="Q369" s="73">
        <f t="shared" si="71"/>
        <v>0</v>
      </c>
      <c r="R369" s="74">
        <f t="shared" si="72"/>
        <v>0</v>
      </c>
      <c r="S369" s="74">
        <f t="shared" si="73"/>
        <v>1</v>
      </c>
      <c r="T369" s="75"/>
      <c r="V369" s="76"/>
      <c r="W369" s="77"/>
      <c r="X369" s="77"/>
      <c r="Y369" s="77"/>
      <c r="Z369" s="77"/>
      <c r="AA369" s="77"/>
      <c r="AB369" s="78"/>
      <c r="AC369" s="77"/>
      <c r="AD369" s="79"/>
      <c r="AE369" s="80"/>
      <c r="AF369" s="81"/>
      <c r="AG369" s="79"/>
      <c r="AH369" s="80"/>
      <c r="AI369" s="82"/>
      <c r="AJ369" s="82"/>
      <c r="AK369" s="83"/>
      <c r="AL369" s="84"/>
      <c r="AP369" s="85">
        <f t="shared" si="9"/>
        <v>0</v>
      </c>
      <c r="AQ369" s="20">
        <f t="shared" si="10"/>
        <v>1</v>
      </c>
      <c r="AR369" s="20">
        <f t="shared" si="11"/>
        <v>0</v>
      </c>
      <c r="AS369" s="86">
        <f t="shared" si="12"/>
        <v>0</v>
      </c>
      <c r="AT369" s="87">
        <f t="shared" si="13"/>
        <v>0</v>
      </c>
      <c r="AU369" s="88">
        <f t="shared" si="81"/>
        <v>0</v>
      </c>
      <c r="AV369" s="89" t="str">
        <f t="shared" si="15"/>
        <v>#VALUE!</v>
      </c>
      <c r="AW369" s="90">
        <f t="shared" si="16"/>
        <v>0</v>
      </c>
      <c r="AY369" s="85">
        <f t="shared" si="17"/>
        <v>1</v>
      </c>
      <c r="AZ369" s="20">
        <f t="shared" si="18"/>
        <v>1</v>
      </c>
      <c r="BA369" s="20">
        <f t="shared" si="19"/>
        <v>1</v>
      </c>
      <c r="BB369" s="91">
        <f t="shared" si="20"/>
        <v>9206.98</v>
      </c>
      <c r="BC369" s="87">
        <f t="shared" si="21"/>
        <v>27555.9</v>
      </c>
      <c r="BD369" s="92">
        <f t="shared" si="22"/>
        <v>10.63333333</v>
      </c>
      <c r="BE369" s="89" t="str">
        <f t="shared" si="23"/>
        <v>#VALUE!</v>
      </c>
      <c r="BF369" s="90" t="str">
        <f t="shared" si="24"/>
        <v>#VALUE!</v>
      </c>
      <c r="BH369" s="93">
        <f t="shared" si="25"/>
        <v>27555.9</v>
      </c>
      <c r="BI369" s="94">
        <f t="shared" si="26"/>
        <v>1</v>
      </c>
      <c r="BJ369" s="95" t="str">
        <f t="shared" si="27"/>
        <v>#VALUE!</v>
      </c>
      <c r="BK369" s="96" t="str">
        <f t="shared" si="28"/>
        <v>#VALUE!</v>
      </c>
      <c r="BM369" s="97">
        <f t="shared" si="29"/>
        <v>1</v>
      </c>
    </row>
    <row r="370" ht="12.75" customHeight="1">
      <c r="A370" s="65"/>
      <c r="B370" s="66" t="s">
        <v>741</v>
      </c>
      <c r="C370" s="106">
        <v>30000.0</v>
      </c>
      <c r="D370" s="99">
        <v>13.0</v>
      </c>
      <c r="E370" s="106">
        <v>29692.12</v>
      </c>
      <c r="F370" s="68" t="s">
        <v>56</v>
      </c>
      <c r="G370" s="100">
        <v>45581.0</v>
      </c>
      <c r="H370" s="70" t="s">
        <v>57</v>
      </c>
      <c r="I370" s="100">
        <v>45743.0</v>
      </c>
      <c r="J370" s="71">
        <f t="shared" ref="J370:J390" si="162">IF(I370="Active",0,(IF(I370="N/A","N/A",(I370-G370)/30)))</f>
        <v>5.4</v>
      </c>
      <c r="K370" s="98" t="s">
        <v>742</v>
      </c>
      <c r="L370" s="98">
        <v>44800.0</v>
      </c>
      <c r="M370" s="101">
        <v>1618.84</v>
      </c>
      <c r="N370" s="101">
        <v>9978.17</v>
      </c>
      <c r="O370" s="73"/>
      <c r="P370" s="73">
        <f t="shared" si="70"/>
        <v>0</v>
      </c>
      <c r="Q370" s="73">
        <f t="shared" si="71"/>
        <v>0</v>
      </c>
      <c r="R370" s="74">
        <f t="shared" si="72"/>
        <v>0</v>
      </c>
      <c r="S370" s="74">
        <f t="shared" si="73"/>
        <v>1</v>
      </c>
      <c r="T370" s="75"/>
      <c r="V370" s="76"/>
      <c r="W370" s="77"/>
      <c r="X370" s="77"/>
      <c r="Y370" s="77"/>
      <c r="Z370" s="77"/>
      <c r="AA370" s="77"/>
      <c r="AB370" s="78"/>
      <c r="AC370" s="77"/>
      <c r="AD370" s="79"/>
      <c r="AE370" s="80"/>
      <c r="AF370" s="81"/>
      <c r="AG370" s="79"/>
      <c r="AH370" s="80"/>
      <c r="AI370" s="82"/>
      <c r="AJ370" s="82"/>
      <c r="AK370" s="83"/>
      <c r="AL370" s="84"/>
      <c r="AP370" s="85">
        <f t="shared" si="9"/>
        <v>1</v>
      </c>
      <c r="AQ370" s="20">
        <f t="shared" si="10"/>
        <v>1</v>
      </c>
      <c r="AR370" s="20">
        <f t="shared" si="11"/>
        <v>1</v>
      </c>
      <c r="AS370" s="86">
        <f t="shared" si="12"/>
        <v>9978.17</v>
      </c>
      <c r="AT370" s="87">
        <f t="shared" si="13"/>
        <v>29692.12</v>
      </c>
      <c r="AU370" s="88">
        <f t="shared" si="81"/>
        <v>5.4</v>
      </c>
      <c r="AV370" s="89" t="str">
        <f t="shared" si="15"/>
        <v>#VALUE!</v>
      </c>
      <c r="AW370" s="90" t="str">
        <f t="shared" si="16"/>
        <v>#VALUE!</v>
      </c>
      <c r="AY370" s="85">
        <f t="shared" si="17"/>
        <v>0</v>
      </c>
      <c r="AZ370" s="20">
        <f t="shared" si="18"/>
        <v>1</v>
      </c>
      <c r="BA370" s="20">
        <f t="shared" si="19"/>
        <v>0</v>
      </c>
      <c r="BB370" s="91">
        <f t="shared" si="20"/>
        <v>0</v>
      </c>
      <c r="BC370" s="87">
        <f t="shared" si="21"/>
        <v>0</v>
      </c>
      <c r="BD370" s="92">
        <f t="shared" si="22"/>
        <v>0</v>
      </c>
      <c r="BE370" s="89" t="str">
        <f t="shared" si="23"/>
        <v>#VALUE!</v>
      </c>
      <c r="BF370" s="90">
        <f t="shared" si="24"/>
        <v>0</v>
      </c>
      <c r="BH370" s="93">
        <f t="shared" si="25"/>
        <v>29692.12</v>
      </c>
      <c r="BI370" s="94">
        <f t="shared" si="26"/>
        <v>1</v>
      </c>
      <c r="BJ370" s="95" t="str">
        <f t="shared" si="27"/>
        <v>#VALUE!</v>
      </c>
      <c r="BK370" s="96" t="str">
        <f t="shared" si="28"/>
        <v>#VALUE!</v>
      </c>
      <c r="BM370" s="97">
        <f t="shared" si="29"/>
        <v>1</v>
      </c>
    </row>
    <row r="371" ht="12.75" customHeight="1">
      <c r="A371" s="65"/>
      <c r="B371" s="66" t="s">
        <v>743</v>
      </c>
      <c r="C371" s="106">
        <f>26706+25000</f>
        <v>51706</v>
      </c>
      <c r="D371" s="99">
        <v>13.0</v>
      </c>
      <c r="E371" s="67">
        <f>22582.63+23917.96</f>
        <v>46500.59</v>
      </c>
      <c r="F371" s="68" t="s">
        <v>64</v>
      </c>
      <c r="G371" s="100">
        <v>45617.0</v>
      </c>
      <c r="H371" s="70" t="s">
        <v>57</v>
      </c>
      <c r="I371" s="100">
        <v>45868.0</v>
      </c>
      <c r="J371" s="71">
        <f t="shared" si="162"/>
        <v>8.366666667</v>
      </c>
      <c r="K371" s="98" t="s">
        <v>744</v>
      </c>
      <c r="L371" s="72">
        <f>46500.59+13499.41</f>
        <v>60000</v>
      </c>
      <c r="M371" s="101">
        <v>3003.41</v>
      </c>
      <c r="N371" s="101">
        <v>7967.94</v>
      </c>
      <c r="O371" s="101">
        <v>3097.37</v>
      </c>
      <c r="P371" s="73">
        <f t="shared" si="70"/>
        <v>0</v>
      </c>
      <c r="Q371" s="73">
        <f t="shared" si="71"/>
        <v>569.31</v>
      </c>
      <c r="R371" s="74">
        <f t="shared" si="72"/>
        <v>0.01224307046</v>
      </c>
      <c r="S371" s="74">
        <f t="shared" si="73"/>
        <v>0.9877569295</v>
      </c>
      <c r="T371" s="75"/>
      <c r="V371" s="76"/>
      <c r="W371" s="77"/>
      <c r="X371" s="77"/>
      <c r="Y371" s="77"/>
      <c r="Z371" s="77"/>
      <c r="AA371" s="77"/>
      <c r="AB371" s="78"/>
      <c r="AC371" s="77"/>
      <c r="AD371" s="79"/>
      <c r="AE371" s="80"/>
      <c r="AF371" s="81"/>
      <c r="AG371" s="79"/>
      <c r="AH371" s="80"/>
      <c r="AI371" s="82"/>
      <c r="AJ371" s="82"/>
      <c r="AK371" s="83"/>
      <c r="AL371" s="84"/>
      <c r="AP371" s="85">
        <f t="shared" si="9"/>
        <v>0</v>
      </c>
      <c r="AQ371" s="20">
        <f t="shared" si="10"/>
        <v>1</v>
      </c>
      <c r="AR371" s="20">
        <f t="shared" si="11"/>
        <v>0</v>
      </c>
      <c r="AS371" s="86">
        <f t="shared" si="12"/>
        <v>0</v>
      </c>
      <c r="AT371" s="87">
        <f t="shared" si="13"/>
        <v>0</v>
      </c>
      <c r="AU371" s="88">
        <f t="shared" si="81"/>
        <v>0</v>
      </c>
      <c r="AV371" s="89" t="str">
        <f t="shared" si="15"/>
        <v>#VALUE!</v>
      </c>
      <c r="AW371" s="90">
        <f t="shared" si="16"/>
        <v>0</v>
      </c>
      <c r="AY371" s="85">
        <f t="shared" si="17"/>
        <v>1</v>
      </c>
      <c r="AZ371" s="20">
        <f t="shared" si="18"/>
        <v>1</v>
      </c>
      <c r="BA371" s="20">
        <f t="shared" si="19"/>
        <v>1</v>
      </c>
      <c r="BB371" s="91">
        <f t="shared" si="20"/>
        <v>11065.31</v>
      </c>
      <c r="BC371" s="87">
        <f t="shared" si="21"/>
        <v>46500.59</v>
      </c>
      <c r="BD371" s="92">
        <f t="shared" si="22"/>
        <v>8.366666667</v>
      </c>
      <c r="BE371" s="89" t="str">
        <f t="shared" si="23"/>
        <v>#VALUE!</v>
      </c>
      <c r="BF371" s="90" t="str">
        <f t="shared" si="24"/>
        <v>#VALUE!</v>
      </c>
      <c r="BH371" s="93">
        <f t="shared" si="25"/>
        <v>46500.59</v>
      </c>
      <c r="BI371" s="94">
        <f t="shared" si="26"/>
        <v>1</v>
      </c>
      <c r="BJ371" s="95" t="str">
        <f t="shared" si="27"/>
        <v>#VALUE!</v>
      </c>
      <c r="BK371" s="96" t="str">
        <f t="shared" si="28"/>
        <v>#VALUE!</v>
      </c>
      <c r="BM371" s="97">
        <f t="shared" si="29"/>
        <v>1</v>
      </c>
    </row>
    <row r="372" ht="12.75" customHeight="1">
      <c r="A372" s="65"/>
      <c r="B372" s="66" t="s">
        <v>745</v>
      </c>
      <c r="C372" s="106">
        <v>76576.5</v>
      </c>
      <c r="D372" s="99">
        <v>13.0</v>
      </c>
      <c r="E372" s="106">
        <v>71244.7</v>
      </c>
      <c r="F372" s="99" t="s">
        <v>64</v>
      </c>
      <c r="G372" s="100">
        <v>45628.0</v>
      </c>
      <c r="H372" s="70" t="s">
        <v>57</v>
      </c>
      <c r="I372" s="100">
        <v>45656.0</v>
      </c>
      <c r="J372" s="71">
        <f t="shared" si="162"/>
        <v>0.9333333333</v>
      </c>
      <c r="K372" s="98" t="s">
        <v>746</v>
      </c>
      <c r="L372" s="98">
        <v>80000.0</v>
      </c>
      <c r="M372" s="73">
        <v>1318.8600000000001</v>
      </c>
      <c r="N372" s="101">
        <v>11733.0</v>
      </c>
      <c r="O372" s="101">
        <v>106.25</v>
      </c>
      <c r="P372" s="73">
        <f t="shared" si="70"/>
        <v>0</v>
      </c>
      <c r="Q372" s="73">
        <f t="shared" si="71"/>
        <v>4402.81</v>
      </c>
      <c r="R372" s="74">
        <f t="shared" si="72"/>
        <v>0.0617984215</v>
      </c>
      <c r="S372" s="74">
        <f t="shared" si="73"/>
        <v>0.9382015785</v>
      </c>
      <c r="T372" s="75"/>
      <c r="V372" s="76"/>
      <c r="W372" s="77"/>
      <c r="X372" s="77"/>
      <c r="Y372" s="77"/>
      <c r="Z372" s="77"/>
      <c r="AA372" s="77"/>
      <c r="AB372" s="78"/>
      <c r="AC372" s="77"/>
      <c r="AD372" s="79"/>
      <c r="AE372" s="80"/>
      <c r="AF372" s="81"/>
      <c r="AG372" s="79"/>
      <c r="AH372" s="80"/>
      <c r="AI372" s="82"/>
      <c r="AJ372" s="82"/>
      <c r="AK372" s="83"/>
      <c r="AL372" s="84"/>
      <c r="AP372" s="85">
        <f t="shared" si="9"/>
        <v>0</v>
      </c>
      <c r="AQ372" s="20">
        <f t="shared" si="10"/>
        <v>1</v>
      </c>
      <c r="AR372" s="20">
        <f t="shared" si="11"/>
        <v>0</v>
      </c>
      <c r="AS372" s="86">
        <f t="shared" si="12"/>
        <v>0</v>
      </c>
      <c r="AT372" s="87">
        <f t="shared" si="13"/>
        <v>0</v>
      </c>
      <c r="AU372" s="88">
        <f t="shared" si="81"/>
        <v>0</v>
      </c>
      <c r="AV372" s="89" t="str">
        <f t="shared" si="15"/>
        <v>#VALUE!</v>
      </c>
      <c r="AW372" s="90">
        <f t="shared" si="16"/>
        <v>0</v>
      </c>
      <c r="AY372" s="85">
        <f t="shared" si="17"/>
        <v>1</v>
      </c>
      <c r="AZ372" s="20">
        <f t="shared" si="18"/>
        <v>1</v>
      </c>
      <c r="BA372" s="20">
        <f t="shared" si="19"/>
        <v>1</v>
      </c>
      <c r="BB372" s="91">
        <f t="shared" si="20"/>
        <v>11839.25</v>
      </c>
      <c r="BC372" s="87">
        <f t="shared" si="21"/>
        <v>71244.7</v>
      </c>
      <c r="BD372" s="92">
        <f t="shared" si="22"/>
        <v>0.9333333333</v>
      </c>
      <c r="BE372" s="89" t="str">
        <f t="shared" si="23"/>
        <v>#VALUE!</v>
      </c>
      <c r="BF372" s="90" t="str">
        <f t="shared" si="24"/>
        <v>#VALUE!</v>
      </c>
      <c r="BH372" s="93">
        <f t="shared" si="25"/>
        <v>71244.7</v>
      </c>
      <c r="BI372" s="94">
        <f t="shared" si="26"/>
        <v>1</v>
      </c>
      <c r="BJ372" s="95" t="str">
        <f t="shared" si="27"/>
        <v>#VALUE!</v>
      </c>
      <c r="BK372" s="96" t="str">
        <f t="shared" si="28"/>
        <v>#VALUE!</v>
      </c>
      <c r="BM372" s="97">
        <f t="shared" si="29"/>
        <v>1</v>
      </c>
    </row>
    <row r="373" ht="12.75" customHeight="1">
      <c r="A373" s="65"/>
      <c r="B373" s="66" t="s">
        <v>747</v>
      </c>
      <c r="C373" s="106">
        <v>35400.0</v>
      </c>
      <c r="D373" s="99">
        <v>13.0</v>
      </c>
      <c r="E373" s="106">
        <v>29882.72</v>
      </c>
      <c r="F373" s="68" t="s">
        <v>56</v>
      </c>
      <c r="G373" s="100">
        <v>45623.0</v>
      </c>
      <c r="H373" s="70" t="s">
        <v>57</v>
      </c>
      <c r="I373" s="100">
        <v>45715.0</v>
      </c>
      <c r="J373" s="71">
        <f t="shared" si="162"/>
        <v>3.066666667</v>
      </c>
      <c r="K373" s="98" t="s">
        <v>748</v>
      </c>
      <c r="L373" s="98">
        <v>49500.0</v>
      </c>
      <c r="M373" s="101">
        <v>17.29</v>
      </c>
      <c r="N373" s="101">
        <v>10947.27</v>
      </c>
      <c r="O373" s="101">
        <v>0.0</v>
      </c>
      <c r="P373" s="73">
        <f t="shared" si="70"/>
        <v>0</v>
      </c>
      <c r="Q373" s="73">
        <f t="shared" si="71"/>
        <v>0</v>
      </c>
      <c r="R373" s="74">
        <f t="shared" si="72"/>
        <v>0</v>
      </c>
      <c r="S373" s="74">
        <f t="shared" si="73"/>
        <v>1</v>
      </c>
      <c r="T373" s="75"/>
      <c r="V373" s="76"/>
      <c r="W373" s="77"/>
      <c r="X373" s="77"/>
      <c r="Y373" s="77"/>
      <c r="Z373" s="77"/>
      <c r="AA373" s="77"/>
      <c r="AB373" s="78"/>
      <c r="AC373" s="77"/>
      <c r="AD373" s="79"/>
      <c r="AE373" s="80"/>
      <c r="AF373" s="81"/>
      <c r="AG373" s="79"/>
      <c r="AH373" s="80"/>
      <c r="AI373" s="82"/>
      <c r="AJ373" s="82"/>
      <c r="AK373" s="83"/>
      <c r="AL373" s="84"/>
      <c r="AP373" s="85">
        <f t="shared" si="9"/>
        <v>1</v>
      </c>
      <c r="AQ373" s="20">
        <f t="shared" si="10"/>
        <v>1</v>
      </c>
      <c r="AR373" s="20">
        <f t="shared" si="11"/>
        <v>1</v>
      </c>
      <c r="AS373" s="86">
        <f t="shared" si="12"/>
        <v>10947.27</v>
      </c>
      <c r="AT373" s="87">
        <f t="shared" si="13"/>
        <v>29882.72</v>
      </c>
      <c r="AU373" s="88">
        <f t="shared" si="81"/>
        <v>3.066666667</v>
      </c>
      <c r="AV373" s="89" t="str">
        <f t="shared" si="15"/>
        <v>#VALUE!</v>
      </c>
      <c r="AW373" s="90" t="str">
        <f t="shared" si="16"/>
        <v>#VALUE!</v>
      </c>
      <c r="AY373" s="85">
        <f t="shared" si="17"/>
        <v>0</v>
      </c>
      <c r="AZ373" s="20">
        <f t="shared" si="18"/>
        <v>1</v>
      </c>
      <c r="BA373" s="20">
        <f t="shared" si="19"/>
        <v>0</v>
      </c>
      <c r="BB373" s="91">
        <f t="shared" si="20"/>
        <v>0</v>
      </c>
      <c r="BC373" s="87">
        <f t="shared" si="21"/>
        <v>0</v>
      </c>
      <c r="BD373" s="92">
        <f t="shared" si="22"/>
        <v>0</v>
      </c>
      <c r="BE373" s="89" t="str">
        <f t="shared" si="23"/>
        <v>#VALUE!</v>
      </c>
      <c r="BF373" s="90">
        <f t="shared" si="24"/>
        <v>0</v>
      </c>
      <c r="BH373" s="93">
        <f t="shared" si="25"/>
        <v>29882.72</v>
      </c>
      <c r="BI373" s="94">
        <f t="shared" si="26"/>
        <v>1</v>
      </c>
      <c r="BJ373" s="95" t="str">
        <f t="shared" si="27"/>
        <v>#VALUE!</v>
      </c>
      <c r="BK373" s="96" t="str">
        <f t="shared" si="28"/>
        <v>#VALUE!</v>
      </c>
      <c r="BM373" s="97">
        <f t="shared" si="29"/>
        <v>1</v>
      </c>
    </row>
    <row r="374" ht="12.75" customHeight="1">
      <c r="A374" s="65"/>
      <c r="B374" s="66" t="s">
        <v>749</v>
      </c>
      <c r="C374" s="106">
        <v>42750.0</v>
      </c>
      <c r="D374" s="99">
        <v>13.0</v>
      </c>
      <c r="E374" s="106">
        <v>40844.09</v>
      </c>
      <c r="F374" s="68" t="s">
        <v>56</v>
      </c>
      <c r="G374" s="100">
        <v>45660.0</v>
      </c>
      <c r="H374" s="71" t="s">
        <v>543</v>
      </c>
      <c r="I374" s="69" t="s">
        <v>181</v>
      </c>
      <c r="J374" s="71" t="str">
        <f t="shared" si="162"/>
        <v>N/A</v>
      </c>
      <c r="K374" s="72" t="s">
        <v>181</v>
      </c>
      <c r="L374" s="72" t="s">
        <v>181</v>
      </c>
      <c r="M374" s="73"/>
      <c r="N374" s="73"/>
      <c r="O374" s="73"/>
      <c r="P374" s="73">
        <f t="shared" si="70"/>
        <v>0</v>
      </c>
      <c r="Q374" s="73">
        <f t="shared" si="71"/>
        <v>0</v>
      </c>
      <c r="R374" s="74" t="str">
        <f t="shared" si="72"/>
        <v>N/A</v>
      </c>
      <c r="S374" s="74" t="str">
        <f t="shared" si="73"/>
        <v>N/A</v>
      </c>
      <c r="T374" s="75"/>
      <c r="V374" s="76"/>
      <c r="W374" s="77"/>
      <c r="X374" s="77"/>
      <c r="Y374" s="77"/>
      <c r="Z374" s="77"/>
      <c r="AA374" s="77"/>
      <c r="AB374" s="78"/>
      <c r="AC374" s="77"/>
      <c r="AD374" s="79"/>
      <c r="AE374" s="80"/>
      <c r="AF374" s="81"/>
      <c r="AG374" s="79"/>
      <c r="AH374" s="80"/>
      <c r="AI374" s="82"/>
      <c r="AJ374" s="82"/>
      <c r="AK374" s="83"/>
      <c r="AL374" s="84"/>
      <c r="AP374" s="85">
        <f t="shared" si="9"/>
        <v>1</v>
      </c>
      <c r="AQ374" s="20">
        <f t="shared" si="10"/>
        <v>0</v>
      </c>
      <c r="AR374" s="20">
        <f t="shared" si="11"/>
        <v>0</v>
      </c>
      <c r="AS374" s="86">
        <f t="shared" si="12"/>
        <v>0</v>
      </c>
      <c r="AT374" s="87">
        <f t="shared" si="13"/>
        <v>0</v>
      </c>
      <c r="AU374" s="88">
        <f t="shared" si="81"/>
        <v>0</v>
      </c>
      <c r="AV374" s="89" t="str">
        <f t="shared" si="15"/>
        <v>#VALUE!</v>
      </c>
      <c r="AW374" s="90">
        <f t="shared" si="16"/>
        <v>0</v>
      </c>
      <c r="AY374" s="85">
        <f t="shared" si="17"/>
        <v>0</v>
      </c>
      <c r="AZ374" s="20">
        <f t="shared" si="18"/>
        <v>0</v>
      </c>
      <c r="BA374" s="20">
        <f t="shared" si="19"/>
        <v>0</v>
      </c>
      <c r="BB374" s="91">
        <f t="shared" si="20"/>
        <v>0</v>
      </c>
      <c r="BC374" s="87">
        <f t="shared" si="21"/>
        <v>0</v>
      </c>
      <c r="BD374" s="92">
        <f t="shared" si="22"/>
        <v>0</v>
      </c>
      <c r="BE374" s="89" t="str">
        <f t="shared" si="23"/>
        <v>#VALUE!</v>
      </c>
      <c r="BF374" s="90">
        <f t="shared" si="24"/>
        <v>0</v>
      </c>
      <c r="BH374" s="93">
        <f t="shared" si="25"/>
        <v>0</v>
      </c>
      <c r="BI374" s="94">
        <f t="shared" si="26"/>
        <v>0</v>
      </c>
      <c r="BJ374" s="95" t="str">
        <f t="shared" si="27"/>
        <v>#VALUE!</v>
      </c>
      <c r="BK374" s="96">
        <f t="shared" si="28"/>
        <v>0</v>
      </c>
      <c r="BM374" s="97">
        <f t="shared" si="29"/>
        <v>1</v>
      </c>
    </row>
    <row r="375" ht="12.75" customHeight="1">
      <c r="A375" s="65"/>
      <c r="B375" s="66" t="s">
        <v>750</v>
      </c>
      <c r="C375" s="67">
        <f>27198.13+16897</f>
        <v>44095.13</v>
      </c>
      <c r="D375" s="99">
        <v>13.0</v>
      </c>
      <c r="E375" s="106">
        <v>42545.22</v>
      </c>
      <c r="F375" s="68" t="s">
        <v>56</v>
      </c>
      <c r="G375" s="100">
        <v>45677.0</v>
      </c>
      <c r="H375" s="70" t="s">
        <v>57</v>
      </c>
      <c r="I375" s="100">
        <v>45776.0</v>
      </c>
      <c r="J375" s="71">
        <f t="shared" si="162"/>
        <v>3.3</v>
      </c>
      <c r="K375" s="98" t="s">
        <v>751</v>
      </c>
      <c r="L375" s="98">
        <v>70000.0</v>
      </c>
      <c r="M375" s="101">
        <v>3488.2</v>
      </c>
      <c r="N375" s="101">
        <v>9528.26</v>
      </c>
      <c r="O375" s="101">
        <v>2282.41</v>
      </c>
      <c r="P375" s="73">
        <f t="shared" si="70"/>
        <v>0</v>
      </c>
      <c r="Q375" s="73">
        <f t="shared" si="71"/>
        <v>0</v>
      </c>
      <c r="R375" s="74">
        <f t="shared" si="72"/>
        <v>0</v>
      </c>
      <c r="S375" s="74">
        <f t="shared" si="73"/>
        <v>1</v>
      </c>
      <c r="T375" s="75"/>
      <c r="V375" s="76"/>
      <c r="W375" s="77"/>
      <c r="X375" s="77"/>
      <c r="Y375" s="77"/>
      <c r="Z375" s="77"/>
      <c r="AA375" s="77"/>
      <c r="AB375" s="78"/>
      <c r="AC375" s="77"/>
      <c r="AD375" s="79"/>
      <c r="AE375" s="80"/>
      <c r="AF375" s="81"/>
      <c r="AG375" s="79"/>
      <c r="AH375" s="80"/>
      <c r="AI375" s="82"/>
      <c r="AJ375" s="82"/>
      <c r="AK375" s="83"/>
      <c r="AL375" s="84"/>
      <c r="AP375" s="85">
        <f t="shared" si="9"/>
        <v>1</v>
      </c>
      <c r="AQ375" s="20">
        <f t="shared" si="10"/>
        <v>1</v>
      </c>
      <c r="AR375" s="20">
        <f t="shared" si="11"/>
        <v>1</v>
      </c>
      <c r="AS375" s="86">
        <f t="shared" si="12"/>
        <v>11810.67</v>
      </c>
      <c r="AT375" s="87">
        <f t="shared" si="13"/>
        <v>42545.22</v>
      </c>
      <c r="AU375" s="88">
        <f t="shared" si="81"/>
        <v>3.3</v>
      </c>
      <c r="AV375" s="89" t="str">
        <f t="shared" si="15"/>
        <v>#VALUE!</v>
      </c>
      <c r="AW375" s="90" t="str">
        <f t="shared" si="16"/>
        <v>#VALUE!</v>
      </c>
      <c r="AY375" s="85">
        <f t="shared" si="17"/>
        <v>0</v>
      </c>
      <c r="AZ375" s="20">
        <f t="shared" si="18"/>
        <v>1</v>
      </c>
      <c r="BA375" s="20">
        <f t="shared" si="19"/>
        <v>0</v>
      </c>
      <c r="BB375" s="91">
        <f t="shared" si="20"/>
        <v>0</v>
      </c>
      <c r="BC375" s="87">
        <f t="shared" si="21"/>
        <v>0</v>
      </c>
      <c r="BD375" s="92">
        <f t="shared" si="22"/>
        <v>0</v>
      </c>
      <c r="BE375" s="89" t="str">
        <f t="shared" si="23"/>
        <v>#VALUE!</v>
      </c>
      <c r="BF375" s="90">
        <f t="shared" si="24"/>
        <v>0</v>
      </c>
      <c r="BH375" s="93">
        <f t="shared" si="25"/>
        <v>42545.22</v>
      </c>
      <c r="BI375" s="94">
        <f t="shared" si="26"/>
        <v>1</v>
      </c>
      <c r="BJ375" s="95" t="str">
        <f t="shared" si="27"/>
        <v>#VALUE!</v>
      </c>
      <c r="BK375" s="96" t="str">
        <f t="shared" si="28"/>
        <v>#VALUE!</v>
      </c>
      <c r="BM375" s="97">
        <f t="shared" si="29"/>
        <v>1</v>
      </c>
    </row>
    <row r="376" ht="12.75" customHeight="1">
      <c r="A376" s="65"/>
      <c r="B376" s="66" t="s">
        <v>752</v>
      </c>
      <c r="C376" s="67">
        <f>14635+13865</f>
        <v>28500</v>
      </c>
      <c r="D376" s="99">
        <v>13.0</v>
      </c>
      <c r="E376" s="106">
        <v>24467.32</v>
      </c>
      <c r="F376" s="99" t="s">
        <v>64</v>
      </c>
      <c r="G376" s="100">
        <v>45710.0</v>
      </c>
      <c r="H376" s="71" t="s">
        <v>543</v>
      </c>
      <c r="I376" s="69" t="s">
        <v>181</v>
      </c>
      <c r="J376" s="71" t="str">
        <f t="shared" si="162"/>
        <v>N/A</v>
      </c>
      <c r="K376" s="72" t="s">
        <v>181</v>
      </c>
      <c r="L376" s="72" t="s">
        <v>181</v>
      </c>
      <c r="M376" s="73"/>
      <c r="N376" s="73"/>
      <c r="O376" s="73"/>
      <c r="P376" s="73">
        <f t="shared" si="70"/>
        <v>0</v>
      </c>
      <c r="Q376" s="73">
        <f t="shared" si="71"/>
        <v>0</v>
      </c>
      <c r="R376" s="74" t="str">
        <f t="shared" si="72"/>
        <v>N/A</v>
      </c>
      <c r="S376" s="74" t="str">
        <f t="shared" si="73"/>
        <v>N/A</v>
      </c>
      <c r="T376" s="75"/>
      <c r="V376" s="76"/>
      <c r="W376" s="77"/>
      <c r="X376" s="77"/>
      <c r="Y376" s="77"/>
      <c r="Z376" s="77"/>
      <c r="AA376" s="77"/>
      <c r="AB376" s="78"/>
      <c r="AC376" s="77"/>
      <c r="AD376" s="79"/>
      <c r="AE376" s="80"/>
      <c r="AF376" s="81"/>
      <c r="AG376" s="79"/>
      <c r="AH376" s="80"/>
      <c r="AI376" s="82"/>
      <c r="AJ376" s="82"/>
      <c r="AK376" s="83"/>
      <c r="AL376" s="84"/>
      <c r="AP376" s="85">
        <f t="shared" si="9"/>
        <v>0</v>
      </c>
      <c r="AQ376" s="20">
        <f t="shared" si="10"/>
        <v>0</v>
      </c>
      <c r="AR376" s="20">
        <f t="shared" si="11"/>
        <v>0</v>
      </c>
      <c r="AS376" s="86">
        <f t="shared" si="12"/>
        <v>0</v>
      </c>
      <c r="AT376" s="87">
        <f t="shared" si="13"/>
        <v>0</v>
      </c>
      <c r="AU376" s="88">
        <f t="shared" si="81"/>
        <v>0</v>
      </c>
      <c r="AV376" s="89" t="str">
        <f t="shared" si="15"/>
        <v>#VALUE!</v>
      </c>
      <c r="AW376" s="90">
        <f t="shared" si="16"/>
        <v>0</v>
      </c>
      <c r="AY376" s="85">
        <f t="shared" si="17"/>
        <v>1</v>
      </c>
      <c r="AZ376" s="20">
        <f t="shared" si="18"/>
        <v>0</v>
      </c>
      <c r="BA376" s="20">
        <f t="shared" si="19"/>
        <v>0</v>
      </c>
      <c r="BB376" s="91">
        <f t="shared" si="20"/>
        <v>0</v>
      </c>
      <c r="BC376" s="87">
        <f t="shared" si="21"/>
        <v>0</v>
      </c>
      <c r="BD376" s="92">
        <f t="shared" si="22"/>
        <v>0</v>
      </c>
      <c r="BE376" s="89" t="str">
        <f t="shared" si="23"/>
        <v>#VALUE!</v>
      </c>
      <c r="BF376" s="90">
        <f t="shared" si="24"/>
        <v>0</v>
      </c>
      <c r="BH376" s="93">
        <f t="shared" si="25"/>
        <v>0</v>
      </c>
      <c r="BI376" s="94">
        <f t="shared" si="26"/>
        <v>0</v>
      </c>
      <c r="BJ376" s="95" t="str">
        <f t="shared" si="27"/>
        <v>#VALUE!</v>
      </c>
      <c r="BK376" s="96">
        <f t="shared" si="28"/>
        <v>0</v>
      </c>
      <c r="BM376" s="97">
        <f t="shared" si="29"/>
        <v>1</v>
      </c>
    </row>
    <row r="377" ht="12.75" customHeight="1">
      <c r="A377" s="65"/>
      <c r="B377" s="66" t="s">
        <v>753</v>
      </c>
      <c r="C377" s="106">
        <v>49085.0</v>
      </c>
      <c r="D377" s="99">
        <v>13.0</v>
      </c>
      <c r="E377" s="106">
        <v>49085.0</v>
      </c>
      <c r="F377" s="68" t="s">
        <v>56</v>
      </c>
      <c r="G377" s="100">
        <v>45611.0</v>
      </c>
      <c r="H377" s="70" t="s">
        <v>57</v>
      </c>
      <c r="I377" s="100">
        <v>45807.0</v>
      </c>
      <c r="J377" s="71">
        <f t="shared" si="162"/>
        <v>6.533333333</v>
      </c>
      <c r="K377" s="98" t="s">
        <v>754</v>
      </c>
      <c r="L377" s="72">
        <f>49085+7415</f>
        <v>56500</v>
      </c>
      <c r="M377" s="101">
        <v>4662.9</v>
      </c>
      <c r="N377" s="101">
        <v>11414.02</v>
      </c>
      <c r="O377" s="101">
        <v>532.23</v>
      </c>
      <c r="P377" s="73">
        <f t="shared" si="70"/>
        <v>0</v>
      </c>
      <c r="Q377" s="73">
        <f t="shared" si="71"/>
        <v>9194.15</v>
      </c>
      <c r="R377" s="74">
        <f t="shared" si="72"/>
        <v>0.1873107874</v>
      </c>
      <c r="S377" s="74">
        <f t="shared" si="73"/>
        <v>0.8126892126</v>
      </c>
      <c r="T377" s="75"/>
      <c r="V377" s="76"/>
      <c r="W377" s="77"/>
      <c r="X377" s="77"/>
      <c r="Y377" s="77"/>
      <c r="Z377" s="77"/>
      <c r="AA377" s="77"/>
      <c r="AB377" s="78"/>
      <c r="AC377" s="77"/>
      <c r="AD377" s="79"/>
      <c r="AE377" s="80"/>
      <c r="AF377" s="81"/>
      <c r="AG377" s="79"/>
      <c r="AH377" s="80"/>
      <c r="AI377" s="82"/>
      <c r="AJ377" s="82"/>
      <c r="AK377" s="83"/>
      <c r="AL377" s="84"/>
      <c r="AP377" s="85">
        <f t="shared" si="9"/>
        <v>1</v>
      </c>
      <c r="AQ377" s="20">
        <f t="shared" si="10"/>
        <v>1</v>
      </c>
      <c r="AR377" s="20">
        <f t="shared" si="11"/>
        <v>1</v>
      </c>
      <c r="AS377" s="86">
        <f t="shared" si="12"/>
        <v>11946.25</v>
      </c>
      <c r="AT377" s="87">
        <f t="shared" si="13"/>
        <v>49085</v>
      </c>
      <c r="AU377" s="88">
        <f t="shared" si="81"/>
        <v>6.533333333</v>
      </c>
      <c r="AV377" s="89" t="str">
        <f t="shared" si="15"/>
        <v>#VALUE!</v>
      </c>
      <c r="AW377" s="90" t="str">
        <f t="shared" si="16"/>
        <v>#VALUE!</v>
      </c>
      <c r="AY377" s="85">
        <f t="shared" si="17"/>
        <v>0</v>
      </c>
      <c r="AZ377" s="20">
        <f t="shared" si="18"/>
        <v>1</v>
      </c>
      <c r="BA377" s="20">
        <f t="shared" si="19"/>
        <v>0</v>
      </c>
      <c r="BB377" s="91">
        <f t="shared" si="20"/>
        <v>0</v>
      </c>
      <c r="BC377" s="87">
        <f t="shared" si="21"/>
        <v>0</v>
      </c>
      <c r="BD377" s="92">
        <f t="shared" si="22"/>
        <v>0</v>
      </c>
      <c r="BE377" s="89" t="str">
        <f t="shared" si="23"/>
        <v>#VALUE!</v>
      </c>
      <c r="BF377" s="90">
        <f t="shared" si="24"/>
        <v>0</v>
      </c>
      <c r="BH377" s="93">
        <f t="shared" si="25"/>
        <v>49085</v>
      </c>
      <c r="BI377" s="94">
        <f t="shared" si="26"/>
        <v>1</v>
      </c>
      <c r="BJ377" s="95" t="str">
        <f t="shared" si="27"/>
        <v>#VALUE!</v>
      </c>
      <c r="BK377" s="96" t="str">
        <f t="shared" si="28"/>
        <v>#VALUE!</v>
      </c>
      <c r="BM377" s="97">
        <f t="shared" si="29"/>
        <v>1</v>
      </c>
    </row>
    <row r="378" ht="12.75" customHeight="1">
      <c r="A378" s="65"/>
      <c r="B378" s="66" t="s">
        <v>755</v>
      </c>
      <c r="C378" s="106">
        <v>24495.1</v>
      </c>
      <c r="D378" s="99">
        <v>13.0</v>
      </c>
      <c r="E378" s="106">
        <v>16585.61</v>
      </c>
      <c r="F378" s="68" t="s">
        <v>64</v>
      </c>
      <c r="G378" s="100">
        <v>45825.0</v>
      </c>
      <c r="H378" s="71" t="s">
        <v>543</v>
      </c>
      <c r="I378" s="69" t="s">
        <v>181</v>
      </c>
      <c r="J378" s="71" t="str">
        <f t="shared" si="162"/>
        <v>N/A</v>
      </c>
      <c r="K378" s="72" t="s">
        <v>181</v>
      </c>
      <c r="L378" s="72" t="s">
        <v>181</v>
      </c>
      <c r="M378" s="73"/>
      <c r="N378" s="73"/>
      <c r="O378" s="73"/>
      <c r="P378" s="73">
        <f t="shared" si="70"/>
        <v>0</v>
      </c>
      <c r="Q378" s="73">
        <f t="shared" si="71"/>
        <v>0</v>
      </c>
      <c r="R378" s="74" t="str">
        <f t="shared" si="72"/>
        <v>N/A</v>
      </c>
      <c r="S378" s="74" t="str">
        <f t="shared" si="73"/>
        <v>N/A</v>
      </c>
      <c r="T378" s="75"/>
      <c r="V378" s="76"/>
      <c r="W378" s="77"/>
      <c r="X378" s="77"/>
      <c r="Y378" s="77"/>
      <c r="Z378" s="77"/>
      <c r="AA378" s="77"/>
      <c r="AB378" s="78"/>
      <c r="AC378" s="77"/>
      <c r="AD378" s="79"/>
      <c r="AE378" s="80"/>
      <c r="AF378" s="81"/>
      <c r="AG378" s="79"/>
      <c r="AH378" s="80"/>
      <c r="AI378" s="82"/>
      <c r="AJ378" s="82"/>
      <c r="AK378" s="83"/>
      <c r="AL378" s="84"/>
      <c r="AP378" s="85">
        <f t="shared" si="9"/>
        <v>0</v>
      </c>
      <c r="AQ378" s="20">
        <f t="shared" si="10"/>
        <v>0</v>
      </c>
      <c r="AR378" s="20">
        <f t="shared" si="11"/>
        <v>0</v>
      </c>
      <c r="AS378" s="86">
        <f t="shared" si="12"/>
        <v>0</v>
      </c>
      <c r="AT378" s="87">
        <f t="shared" si="13"/>
        <v>0</v>
      </c>
      <c r="AU378" s="88">
        <f t="shared" si="81"/>
        <v>0</v>
      </c>
      <c r="AV378" s="89" t="str">
        <f t="shared" si="15"/>
        <v>#VALUE!</v>
      </c>
      <c r="AW378" s="90">
        <f t="shared" si="16"/>
        <v>0</v>
      </c>
      <c r="AY378" s="85">
        <f t="shared" si="17"/>
        <v>1</v>
      </c>
      <c r="AZ378" s="20">
        <f t="shared" si="18"/>
        <v>0</v>
      </c>
      <c r="BA378" s="20">
        <f t="shared" si="19"/>
        <v>0</v>
      </c>
      <c r="BB378" s="91">
        <f t="shared" si="20"/>
        <v>0</v>
      </c>
      <c r="BC378" s="87">
        <f t="shared" si="21"/>
        <v>0</v>
      </c>
      <c r="BD378" s="92">
        <f t="shared" si="22"/>
        <v>0</v>
      </c>
      <c r="BE378" s="89" t="str">
        <f t="shared" si="23"/>
        <v>#VALUE!</v>
      </c>
      <c r="BF378" s="90">
        <f t="shared" si="24"/>
        <v>0</v>
      </c>
      <c r="BH378" s="93">
        <f t="shared" si="25"/>
        <v>0</v>
      </c>
      <c r="BI378" s="94">
        <f t="shared" si="26"/>
        <v>0</v>
      </c>
      <c r="BJ378" s="95" t="str">
        <f t="shared" si="27"/>
        <v>#VALUE!</v>
      </c>
      <c r="BK378" s="96">
        <f t="shared" si="28"/>
        <v>0</v>
      </c>
      <c r="BM378" s="97">
        <f t="shared" si="29"/>
        <v>1</v>
      </c>
    </row>
    <row r="379" ht="12.75" customHeight="1">
      <c r="A379" s="65"/>
      <c r="B379" s="66" t="s">
        <v>756</v>
      </c>
      <c r="C379" s="106">
        <v>91097.22</v>
      </c>
      <c r="D379" s="99">
        <v>13.0</v>
      </c>
      <c r="E379" s="106">
        <v>85038.35</v>
      </c>
      <c r="F379" s="68" t="s">
        <v>64</v>
      </c>
      <c r="G379" s="100">
        <v>45883.0</v>
      </c>
      <c r="H379" s="71" t="s">
        <v>543</v>
      </c>
      <c r="I379" s="69" t="s">
        <v>181</v>
      </c>
      <c r="J379" s="71" t="str">
        <f t="shared" si="162"/>
        <v>N/A</v>
      </c>
      <c r="K379" s="72" t="s">
        <v>181</v>
      </c>
      <c r="L379" s="72" t="s">
        <v>181</v>
      </c>
      <c r="M379" s="73"/>
      <c r="N379" s="73"/>
      <c r="O379" s="73"/>
      <c r="P379" s="73">
        <f t="shared" si="70"/>
        <v>0</v>
      </c>
      <c r="Q379" s="73">
        <f t="shared" si="71"/>
        <v>0</v>
      </c>
      <c r="R379" s="74" t="str">
        <f t="shared" si="72"/>
        <v>N/A</v>
      </c>
      <c r="S379" s="74" t="str">
        <f t="shared" si="73"/>
        <v>N/A</v>
      </c>
      <c r="T379" s="75"/>
      <c r="V379" s="76"/>
      <c r="W379" s="77"/>
      <c r="X379" s="77"/>
      <c r="Y379" s="77"/>
      <c r="Z379" s="77"/>
      <c r="AA379" s="77"/>
      <c r="AB379" s="78"/>
      <c r="AC379" s="77"/>
      <c r="AD379" s="79"/>
      <c r="AE379" s="80"/>
      <c r="AF379" s="81"/>
      <c r="AG379" s="79"/>
      <c r="AH379" s="80"/>
      <c r="AI379" s="82"/>
      <c r="AJ379" s="82"/>
      <c r="AK379" s="83"/>
      <c r="AL379" s="84"/>
      <c r="AP379" s="85">
        <f t="shared" si="9"/>
        <v>0</v>
      </c>
      <c r="AQ379" s="20">
        <f t="shared" si="10"/>
        <v>0</v>
      </c>
      <c r="AR379" s="20">
        <f t="shared" si="11"/>
        <v>0</v>
      </c>
      <c r="AS379" s="86">
        <f t="shared" si="12"/>
        <v>0</v>
      </c>
      <c r="AT379" s="87">
        <f t="shared" si="13"/>
        <v>0</v>
      </c>
      <c r="AU379" s="88">
        <f t="shared" si="81"/>
        <v>0</v>
      </c>
      <c r="AV379" s="89" t="str">
        <f t="shared" si="15"/>
        <v>#VALUE!</v>
      </c>
      <c r="AW379" s="90">
        <f t="shared" si="16"/>
        <v>0</v>
      </c>
      <c r="AY379" s="85">
        <f t="shared" si="17"/>
        <v>1</v>
      </c>
      <c r="AZ379" s="20">
        <f t="shared" si="18"/>
        <v>0</v>
      </c>
      <c r="BA379" s="20">
        <f t="shared" si="19"/>
        <v>0</v>
      </c>
      <c r="BB379" s="91">
        <f t="shared" si="20"/>
        <v>0</v>
      </c>
      <c r="BC379" s="87">
        <f t="shared" si="21"/>
        <v>0</v>
      </c>
      <c r="BD379" s="92">
        <f t="shared" si="22"/>
        <v>0</v>
      </c>
      <c r="BE379" s="89" t="str">
        <f t="shared" si="23"/>
        <v>#VALUE!</v>
      </c>
      <c r="BF379" s="90">
        <f t="shared" si="24"/>
        <v>0</v>
      </c>
      <c r="BH379" s="93">
        <f t="shared" si="25"/>
        <v>0</v>
      </c>
      <c r="BI379" s="94">
        <f t="shared" si="26"/>
        <v>0</v>
      </c>
      <c r="BJ379" s="95" t="str">
        <f t="shared" si="27"/>
        <v>#VALUE!</v>
      </c>
      <c r="BK379" s="96"/>
      <c r="BM379" s="97">
        <f t="shared" si="29"/>
        <v>1</v>
      </c>
    </row>
    <row r="380" ht="12.75" customHeight="1">
      <c r="A380" s="65"/>
      <c r="B380" s="66" t="s">
        <v>757</v>
      </c>
      <c r="C380" s="106">
        <v>40500.0</v>
      </c>
      <c r="D380" s="99">
        <v>13.0</v>
      </c>
      <c r="E380" s="106">
        <v>38763.0</v>
      </c>
      <c r="F380" s="68" t="s">
        <v>64</v>
      </c>
      <c r="G380" s="100">
        <v>45883.0</v>
      </c>
      <c r="H380" s="70" t="s">
        <v>57</v>
      </c>
      <c r="I380" s="100">
        <v>45957.0</v>
      </c>
      <c r="J380" s="71">
        <f t="shared" si="162"/>
        <v>2.466666667</v>
      </c>
      <c r="K380" s="98" t="s">
        <v>758</v>
      </c>
      <c r="L380" s="98">
        <v>50000.0</v>
      </c>
      <c r="M380" s="101">
        <v>673.52</v>
      </c>
      <c r="N380" s="101">
        <v>7583.11</v>
      </c>
      <c r="O380" s="101">
        <v>400.0</v>
      </c>
      <c r="P380" s="73">
        <f t="shared" si="70"/>
        <v>0</v>
      </c>
      <c r="Q380" s="73">
        <f t="shared" si="71"/>
        <v>0</v>
      </c>
      <c r="R380" s="74">
        <f t="shared" si="72"/>
        <v>0</v>
      </c>
      <c r="S380" s="74">
        <f t="shared" si="73"/>
        <v>1</v>
      </c>
      <c r="T380" s="75"/>
      <c r="V380" s="76"/>
      <c r="W380" s="77"/>
      <c r="X380" s="77"/>
      <c r="Y380" s="77"/>
      <c r="Z380" s="77"/>
      <c r="AA380" s="77"/>
      <c r="AB380" s="78"/>
      <c r="AC380" s="77"/>
      <c r="AD380" s="79"/>
      <c r="AE380" s="80"/>
      <c r="AF380" s="81"/>
      <c r="AG380" s="79"/>
      <c r="AH380" s="80"/>
      <c r="AI380" s="82"/>
      <c r="AJ380" s="82"/>
      <c r="AK380" s="83"/>
      <c r="AL380" s="84"/>
      <c r="AP380" s="85">
        <f t="shared" si="9"/>
        <v>0</v>
      </c>
      <c r="AQ380" s="20">
        <f t="shared" si="10"/>
        <v>1</v>
      </c>
      <c r="AR380" s="20">
        <f t="shared" si="11"/>
        <v>0</v>
      </c>
      <c r="AS380" s="86">
        <f t="shared" si="12"/>
        <v>0</v>
      </c>
      <c r="AT380" s="87">
        <f t="shared" si="13"/>
        <v>0</v>
      </c>
      <c r="AU380" s="88">
        <f t="shared" si="81"/>
        <v>0</v>
      </c>
      <c r="AV380" s="89" t="str">
        <f t="shared" si="15"/>
        <v>#VALUE!</v>
      </c>
      <c r="AW380" s="90">
        <f t="shared" si="16"/>
        <v>0</v>
      </c>
      <c r="AY380" s="85">
        <f t="shared" si="17"/>
        <v>1</v>
      </c>
      <c r="AZ380" s="20">
        <f t="shared" si="18"/>
        <v>1</v>
      </c>
      <c r="BA380" s="20">
        <f t="shared" si="19"/>
        <v>1</v>
      </c>
      <c r="BB380" s="91">
        <f t="shared" si="20"/>
        <v>7983.11</v>
      </c>
      <c r="BC380" s="87">
        <f t="shared" si="21"/>
        <v>38763</v>
      </c>
      <c r="BD380" s="92">
        <f t="shared" si="22"/>
        <v>2.466666667</v>
      </c>
      <c r="BE380" s="89" t="str">
        <f t="shared" si="23"/>
        <v>#VALUE!</v>
      </c>
      <c r="BF380" s="90" t="str">
        <f t="shared" si="24"/>
        <v>#VALUE!</v>
      </c>
      <c r="BH380" s="93">
        <f t="shared" si="25"/>
        <v>38763</v>
      </c>
      <c r="BI380" s="94">
        <f t="shared" si="26"/>
        <v>1</v>
      </c>
      <c r="BJ380" s="95" t="str">
        <f t="shared" si="27"/>
        <v>#VALUE!</v>
      </c>
      <c r="BK380" s="96"/>
      <c r="BM380" s="97">
        <f t="shared" si="29"/>
        <v>1</v>
      </c>
    </row>
    <row r="381" ht="12.75" customHeight="1">
      <c r="A381" s="65"/>
      <c r="B381" s="66" t="s">
        <v>759</v>
      </c>
      <c r="C381" s="106">
        <v>40399.0</v>
      </c>
      <c r="D381" s="99">
        <v>13.0</v>
      </c>
      <c r="E381" s="106">
        <v>35467.98</v>
      </c>
      <c r="F381" s="68" t="s">
        <v>56</v>
      </c>
      <c r="G381" s="100">
        <v>45968.0</v>
      </c>
      <c r="H381" s="71" t="s">
        <v>543</v>
      </c>
      <c r="I381" s="69" t="s">
        <v>181</v>
      </c>
      <c r="J381" s="71" t="str">
        <f t="shared" si="162"/>
        <v>N/A</v>
      </c>
      <c r="K381" s="72" t="s">
        <v>181</v>
      </c>
      <c r="L381" s="72" t="s">
        <v>181</v>
      </c>
      <c r="M381" s="73"/>
      <c r="N381" s="73"/>
      <c r="O381" s="73"/>
      <c r="P381" s="73">
        <f t="shared" si="70"/>
        <v>0</v>
      </c>
      <c r="Q381" s="73">
        <f t="shared" si="71"/>
        <v>0</v>
      </c>
      <c r="R381" s="74" t="str">
        <f t="shared" si="72"/>
        <v>N/A</v>
      </c>
      <c r="S381" s="74" t="str">
        <f t="shared" si="73"/>
        <v>N/A</v>
      </c>
      <c r="T381" s="75"/>
      <c r="V381" s="76"/>
      <c r="W381" s="77"/>
      <c r="X381" s="77"/>
      <c r="Y381" s="77"/>
      <c r="Z381" s="77"/>
      <c r="AA381" s="77"/>
      <c r="AB381" s="78"/>
      <c r="AC381" s="77"/>
      <c r="AD381" s="79"/>
      <c r="AE381" s="80"/>
      <c r="AF381" s="81"/>
      <c r="AG381" s="79"/>
      <c r="AH381" s="80"/>
      <c r="AI381" s="82"/>
      <c r="AJ381" s="82"/>
      <c r="AK381" s="83"/>
      <c r="AL381" s="84"/>
      <c r="AP381" s="85">
        <f t="shared" si="9"/>
        <v>1</v>
      </c>
      <c r="AQ381" s="20">
        <f t="shared" si="10"/>
        <v>0</v>
      </c>
      <c r="AR381" s="20">
        <f t="shared" si="11"/>
        <v>0</v>
      </c>
      <c r="AS381" s="86">
        <f t="shared" si="12"/>
        <v>0</v>
      </c>
      <c r="AT381" s="87">
        <f t="shared" si="13"/>
        <v>0</v>
      </c>
      <c r="AU381" s="88">
        <f t="shared" si="81"/>
        <v>0</v>
      </c>
      <c r="AV381" s="89" t="str">
        <f t="shared" si="15"/>
        <v>#VALUE!</v>
      </c>
      <c r="AW381" s="90">
        <f t="shared" si="16"/>
        <v>0</v>
      </c>
      <c r="AY381" s="85">
        <f t="shared" si="17"/>
        <v>0</v>
      </c>
      <c r="AZ381" s="20">
        <f t="shared" si="18"/>
        <v>0</v>
      </c>
      <c r="BA381" s="20">
        <f t="shared" si="19"/>
        <v>0</v>
      </c>
      <c r="BB381" s="91">
        <f t="shared" si="20"/>
        <v>0</v>
      </c>
      <c r="BC381" s="87">
        <f t="shared" si="21"/>
        <v>0</v>
      </c>
      <c r="BD381" s="92">
        <f t="shared" si="22"/>
        <v>0</v>
      </c>
      <c r="BE381" s="89" t="str">
        <f t="shared" si="23"/>
        <v>#VALUE!</v>
      </c>
      <c r="BF381" s="90">
        <f t="shared" si="24"/>
        <v>0</v>
      </c>
      <c r="BH381" s="93">
        <f t="shared" si="25"/>
        <v>0</v>
      </c>
      <c r="BI381" s="94">
        <f t="shared" si="26"/>
        <v>0</v>
      </c>
      <c r="BJ381" s="95" t="str">
        <f t="shared" si="27"/>
        <v>#VALUE!</v>
      </c>
      <c r="BK381" s="96"/>
      <c r="BM381" s="97">
        <f t="shared" si="29"/>
        <v>1</v>
      </c>
    </row>
    <row r="382" ht="12.75" customHeight="1">
      <c r="A382" s="65"/>
      <c r="B382" s="66" t="s">
        <v>760</v>
      </c>
      <c r="C382" s="106">
        <v>40500.0</v>
      </c>
      <c r="D382" s="99">
        <v>13.0</v>
      </c>
      <c r="E382" s="106">
        <v>38109.57</v>
      </c>
      <c r="F382" s="68" t="s">
        <v>56</v>
      </c>
      <c r="G382" s="100">
        <v>45982.0</v>
      </c>
      <c r="H382" s="71" t="s">
        <v>543</v>
      </c>
      <c r="I382" s="69" t="s">
        <v>181</v>
      </c>
      <c r="J382" s="71" t="str">
        <f t="shared" si="162"/>
        <v>N/A</v>
      </c>
      <c r="K382" s="72" t="s">
        <v>181</v>
      </c>
      <c r="L382" s="72" t="s">
        <v>181</v>
      </c>
      <c r="M382" s="73"/>
      <c r="N382" s="73"/>
      <c r="O382" s="73"/>
      <c r="P382" s="73">
        <f t="shared" si="70"/>
        <v>0</v>
      </c>
      <c r="Q382" s="73">
        <f t="shared" si="71"/>
        <v>0</v>
      </c>
      <c r="R382" s="74" t="str">
        <f t="shared" si="72"/>
        <v>N/A</v>
      </c>
      <c r="S382" s="74" t="str">
        <f t="shared" si="73"/>
        <v>N/A</v>
      </c>
      <c r="T382" s="75"/>
      <c r="V382" s="76"/>
      <c r="W382" s="77"/>
      <c r="X382" s="77"/>
      <c r="Y382" s="77"/>
      <c r="Z382" s="77"/>
      <c r="AA382" s="77"/>
      <c r="AB382" s="78"/>
      <c r="AC382" s="77"/>
      <c r="AD382" s="79"/>
      <c r="AE382" s="80"/>
      <c r="AF382" s="81"/>
      <c r="AG382" s="79"/>
      <c r="AH382" s="80"/>
      <c r="AI382" s="82"/>
      <c r="AJ382" s="82"/>
      <c r="AK382" s="83"/>
      <c r="AL382" s="84"/>
      <c r="AP382" s="85">
        <f t="shared" si="9"/>
        <v>1</v>
      </c>
      <c r="AQ382" s="20">
        <f t="shared" si="10"/>
        <v>0</v>
      </c>
      <c r="AR382" s="20">
        <f t="shared" si="11"/>
        <v>0</v>
      </c>
      <c r="AS382" s="86">
        <f t="shared" si="12"/>
        <v>0</v>
      </c>
      <c r="AT382" s="87">
        <f t="shared" si="13"/>
        <v>0</v>
      </c>
      <c r="AU382" s="88">
        <f t="shared" si="81"/>
        <v>0</v>
      </c>
      <c r="AV382" s="89" t="str">
        <f t="shared" si="15"/>
        <v>#VALUE!</v>
      </c>
      <c r="AW382" s="90">
        <f t="shared" si="16"/>
        <v>0</v>
      </c>
      <c r="AY382" s="85">
        <f t="shared" si="17"/>
        <v>0</v>
      </c>
      <c r="AZ382" s="20">
        <f t="shared" si="18"/>
        <v>0</v>
      </c>
      <c r="BA382" s="20">
        <f t="shared" si="19"/>
        <v>0</v>
      </c>
      <c r="BB382" s="91">
        <f t="shared" si="20"/>
        <v>0</v>
      </c>
      <c r="BC382" s="87">
        <f t="shared" si="21"/>
        <v>0</v>
      </c>
      <c r="BD382" s="92">
        <f t="shared" si="22"/>
        <v>0</v>
      </c>
      <c r="BE382" s="89" t="str">
        <f t="shared" si="23"/>
        <v>#VALUE!</v>
      </c>
      <c r="BF382" s="90">
        <f t="shared" si="24"/>
        <v>0</v>
      </c>
      <c r="BH382" s="93">
        <f t="shared" si="25"/>
        <v>0</v>
      </c>
      <c r="BI382" s="94">
        <f t="shared" si="26"/>
        <v>0</v>
      </c>
      <c r="BJ382" s="95" t="str">
        <f t="shared" si="27"/>
        <v>#VALUE!</v>
      </c>
      <c r="BK382" s="96"/>
      <c r="BM382" s="97">
        <f t="shared" si="29"/>
        <v>1</v>
      </c>
    </row>
    <row r="383" ht="12.75" customHeight="1">
      <c r="A383" s="65"/>
      <c r="B383" s="66" t="s">
        <v>761</v>
      </c>
      <c r="C383" s="106">
        <v>39600.0</v>
      </c>
      <c r="D383" s="99">
        <v>13.0</v>
      </c>
      <c r="E383" s="106">
        <v>33761.52</v>
      </c>
      <c r="F383" s="68" t="s">
        <v>56</v>
      </c>
      <c r="G383" s="100">
        <v>45982.0</v>
      </c>
      <c r="H383" s="70" t="s">
        <v>57</v>
      </c>
      <c r="I383" s="100">
        <v>46054.0</v>
      </c>
      <c r="J383" s="71">
        <f t="shared" si="162"/>
        <v>2.4</v>
      </c>
      <c r="K383" s="98" t="s">
        <v>762</v>
      </c>
      <c r="L383" s="98">
        <v>55000.0</v>
      </c>
      <c r="M383" s="73"/>
      <c r="N383" s="73"/>
      <c r="O383" s="73"/>
      <c r="P383" s="73">
        <f t="shared" si="70"/>
        <v>0</v>
      </c>
      <c r="Q383" s="73">
        <f t="shared" si="71"/>
        <v>0</v>
      </c>
      <c r="R383" s="74">
        <f t="shared" si="72"/>
        <v>0</v>
      </c>
      <c r="S383" s="74">
        <f t="shared" si="73"/>
        <v>1</v>
      </c>
      <c r="T383" s="75"/>
      <c r="V383" s="76"/>
      <c r="W383" s="77"/>
      <c r="X383" s="77"/>
      <c r="Y383" s="77"/>
      <c r="Z383" s="77"/>
      <c r="AA383" s="77"/>
      <c r="AB383" s="78"/>
      <c r="AC383" s="77"/>
      <c r="AD383" s="79"/>
      <c r="AE383" s="80"/>
      <c r="AF383" s="81"/>
      <c r="AG383" s="79"/>
      <c r="AH383" s="80"/>
      <c r="AI383" s="82"/>
      <c r="AJ383" s="82"/>
      <c r="AK383" s="83"/>
      <c r="AL383" s="84"/>
      <c r="AP383" s="85">
        <f t="shared" si="9"/>
        <v>1</v>
      </c>
      <c r="AQ383" s="20">
        <f t="shared" si="10"/>
        <v>1</v>
      </c>
      <c r="AR383" s="20">
        <f t="shared" si="11"/>
        <v>1</v>
      </c>
      <c r="AS383" s="86">
        <f t="shared" si="12"/>
        <v>0</v>
      </c>
      <c r="AT383" s="87">
        <f t="shared" si="13"/>
        <v>33761.52</v>
      </c>
      <c r="AU383" s="88">
        <f t="shared" si="81"/>
        <v>2.4</v>
      </c>
      <c r="AV383" s="89" t="str">
        <f t="shared" si="15"/>
        <v>#VALUE!</v>
      </c>
      <c r="AW383" s="90" t="str">
        <f t="shared" si="16"/>
        <v>#VALUE!</v>
      </c>
      <c r="AY383" s="85">
        <f t="shared" si="17"/>
        <v>0</v>
      </c>
      <c r="AZ383" s="20">
        <f t="shared" si="18"/>
        <v>1</v>
      </c>
      <c r="BA383" s="20">
        <f t="shared" si="19"/>
        <v>0</v>
      </c>
      <c r="BB383" s="91">
        <f t="shared" si="20"/>
        <v>0</v>
      </c>
      <c r="BC383" s="87">
        <f t="shared" si="21"/>
        <v>0</v>
      </c>
      <c r="BD383" s="92">
        <f t="shared" si="22"/>
        <v>0</v>
      </c>
      <c r="BE383" s="89" t="str">
        <f t="shared" si="23"/>
        <v>#VALUE!</v>
      </c>
      <c r="BF383" s="90">
        <f t="shared" si="24"/>
        <v>0</v>
      </c>
      <c r="BH383" s="93">
        <f t="shared" si="25"/>
        <v>33761.52</v>
      </c>
      <c r="BI383" s="94">
        <f t="shared" si="26"/>
        <v>1</v>
      </c>
      <c r="BJ383" s="95" t="str">
        <f t="shared" si="27"/>
        <v>#VALUE!</v>
      </c>
      <c r="BK383" s="96"/>
      <c r="BM383" s="97">
        <f t="shared" si="29"/>
        <v>1</v>
      </c>
    </row>
    <row r="384" ht="12.75" customHeight="1">
      <c r="A384" s="65"/>
      <c r="B384" s="66" t="s">
        <v>763</v>
      </c>
      <c r="C384" s="106">
        <v>33000.0</v>
      </c>
      <c r="D384" s="99">
        <v>13.0</v>
      </c>
      <c r="E384" s="106">
        <v>31898.08</v>
      </c>
      <c r="F384" s="68" t="s">
        <v>64</v>
      </c>
      <c r="G384" s="100">
        <v>45995.0</v>
      </c>
      <c r="H384" s="71" t="s">
        <v>543</v>
      </c>
      <c r="I384" s="69" t="s">
        <v>181</v>
      </c>
      <c r="J384" s="71" t="str">
        <f t="shared" si="162"/>
        <v>N/A</v>
      </c>
      <c r="K384" s="72" t="s">
        <v>181</v>
      </c>
      <c r="L384" s="72" t="s">
        <v>181</v>
      </c>
      <c r="M384" s="73"/>
      <c r="N384" s="73"/>
      <c r="O384" s="73"/>
      <c r="P384" s="73">
        <f t="shared" si="70"/>
        <v>0</v>
      </c>
      <c r="Q384" s="73">
        <f t="shared" si="71"/>
        <v>0</v>
      </c>
      <c r="R384" s="74" t="str">
        <f t="shared" si="72"/>
        <v>N/A</v>
      </c>
      <c r="S384" s="74" t="str">
        <f t="shared" si="73"/>
        <v>N/A</v>
      </c>
      <c r="T384" s="75"/>
      <c r="V384" s="76"/>
      <c r="W384" s="77"/>
      <c r="X384" s="77"/>
      <c r="Y384" s="77"/>
      <c r="Z384" s="77"/>
      <c r="AA384" s="77"/>
      <c r="AB384" s="78"/>
      <c r="AC384" s="77"/>
      <c r="AD384" s="79"/>
      <c r="AE384" s="80"/>
      <c r="AF384" s="81"/>
      <c r="AG384" s="79"/>
      <c r="AH384" s="80"/>
      <c r="AI384" s="82"/>
      <c r="AJ384" s="82"/>
      <c r="AK384" s="83"/>
      <c r="AL384" s="84"/>
      <c r="AP384" s="85">
        <f t="shared" si="9"/>
        <v>0</v>
      </c>
      <c r="AQ384" s="20">
        <f t="shared" si="10"/>
        <v>0</v>
      </c>
      <c r="AR384" s="20">
        <f t="shared" si="11"/>
        <v>0</v>
      </c>
      <c r="AS384" s="86">
        <f t="shared" si="12"/>
        <v>0</v>
      </c>
      <c r="AT384" s="87">
        <f t="shared" si="13"/>
        <v>0</v>
      </c>
      <c r="AU384" s="88">
        <f t="shared" si="81"/>
        <v>0</v>
      </c>
      <c r="AV384" s="89" t="str">
        <f t="shared" si="15"/>
        <v>#VALUE!</v>
      </c>
      <c r="AW384" s="90">
        <f t="shared" si="16"/>
        <v>0</v>
      </c>
      <c r="AY384" s="85">
        <f t="shared" si="17"/>
        <v>1</v>
      </c>
      <c r="AZ384" s="20">
        <f t="shared" si="18"/>
        <v>0</v>
      </c>
      <c r="BA384" s="20">
        <f t="shared" si="19"/>
        <v>0</v>
      </c>
      <c r="BB384" s="91">
        <f t="shared" si="20"/>
        <v>0</v>
      </c>
      <c r="BC384" s="87">
        <f t="shared" si="21"/>
        <v>0</v>
      </c>
      <c r="BD384" s="92">
        <f t="shared" si="22"/>
        <v>0</v>
      </c>
      <c r="BE384" s="89" t="str">
        <f t="shared" si="23"/>
        <v>#VALUE!</v>
      </c>
      <c r="BF384" s="90">
        <f t="shared" si="24"/>
        <v>0</v>
      </c>
      <c r="BH384" s="93">
        <f t="shared" si="25"/>
        <v>0</v>
      </c>
      <c r="BI384" s="94">
        <f t="shared" si="26"/>
        <v>0</v>
      </c>
      <c r="BJ384" s="95" t="str">
        <f t="shared" si="27"/>
        <v>#VALUE!</v>
      </c>
      <c r="BK384" s="96"/>
      <c r="BM384" s="97">
        <f t="shared" si="29"/>
        <v>1</v>
      </c>
    </row>
    <row r="385" ht="12.75" customHeight="1">
      <c r="A385" s="65"/>
      <c r="B385" s="66" t="s">
        <v>764</v>
      </c>
      <c r="C385" s="106">
        <v>39595.05</v>
      </c>
      <c r="D385" s="99">
        <v>13.0</v>
      </c>
      <c r="E385" s="106">
        <v>29046.11</v>
      </c>
      <c r="F385" s="68" t="s">
        <v>64</v>
      </c>
      <c r="G385" s="100">
        <v>46014.0</v>
      </c>
      <c r="H385" s="71" t="s">
        <v>543</v>
      </c>
      <c r="I385" s="69" t="s">
        <v>181</v>
      </c>
      <c r="J385" s="71" t="str">
        <f t="shared" si="162"/>
        <v>N/A</v>
      </c>
      <c r="K385" s="72" t="s">
        <v>181</v>
      </c>
      <c r="L385" s="72" t="s">
        <v>181</v>
      </c>
      <c r="M385" s="73"/>
      <c r="N385" s="73"/>
      <c r="O385" s="73"/>
      <c r="P385" s="73">
        <f t="shared" si="70"/>
        <v>0</v>
      </c>
      <c r="Q385" s="73">
        <f t="shared" si="71"/>
        <v>0</v>
      </c>
      <c r="R385" s="74" t="str">
        <f t="shared" si="72"/>
        <v>N/A</v>
      </c>
      <c r="S385" s="74" t="str">
        <f t="shared" si="73"/>
        <v>N/A</v>
      </c>
      <c r="T385" s="75"/>
      <c r="V385" s="76"/>
      <c r="W385" s="77"/>
      <c r="X385" s="77"/>
      <c r="Y385" s="77"/>
      <c r="Z385" s="77"/>
      <c r="AA385" s="77"/>
      <c r="AB385" s="78"/>
      <c r="AC385" s="77"/>
      <c r="AD385" s="79"/>
      <c r="AE385" s="80"/>
      <c r="AF385" s="81"/>
      <c r="AG385" s="79"/>
      <c r="AH385" s="80"/>
      <c r="AI385" s="82"/>
      <c r="AJ385" s="82"/>
      <c r="AK385" s="83"/>
      <c r="AL385" s="84"/>
      <c r="AP385" s="85">
        <f t="shared" si="9"/>
        <v>0</v>
      </c>
      <c r="AQ385" s="20">
        <f t="shared" si="10"/>
        <v>0</v>
      </c>
      <c r="AR385" s="20">
        <f t="shared" si="11"/>
        <v>0</v>
      </c>
      <c r="AS385" s="86">
        <f t="shared" si="12"/>
        <v>0</v>
      </c>
      <c r="AT385" s="87">
        <f t="shared" si="13"/>
        <v>0</v>
      </c>
      <c r="AU385" s="88">
        <f t="shared" si="81"/>
        <v>0</v>
      </c>
      <c r="AV385" s="89" t="str">
        <f t="shared" si="15"/>
        <v>#VALUE!</v>
      </c>
      <c r="AW385" s="90">
        <f t="shared" si="16"/>
        <v>0</v>
      </c>
      <c r="AY385" s="85">
        <f t="shared" si="17"/>
        <v>1</v>
      </c>
      <c r="AZ385" s="20">
        <f t="shared" si="18"/>
        <v>0</v>
      </c>
      <c r="BA385" s="20">
        <f t="shared" si="19"/>
        <v>0</v>
      </c>
      <c r="BB385" s="91">
        <f t="shared" si="20"/>
        <v>0</v>
      </c>
      <c r="BC385" s="87">
        <f t="shared" si="21"/>
        <v>0</v>
      </c>
      <c r="BD385" s="92">
        <f t="shared" si="22"/>
        <v>0</v>
      </c>
      <c r="BE385" s="89" t="str">
        <f t="shared" si="23"/>
        <v>#VALUE!</v>
      </c>
      <c r="BF385" s="90">
        <f t="shared" si="24"/>
        <v>0</v>
      </c>
      <c r="BH385" s="93">
        <f t="shared" si="25"/>
        <v>0</v>
      </c>
      <c r="BI385" s="94">
        <f t="shared" si="26"/>
        <v>0</v>
      </c>
      <c r="BJ385" s="95" t="str">
        <f t="shared" si="27"/>
        <v>#VALUE!</v>
      </c>
      <c r="BK385" s="96"/>
      <c r="BM385" s="97">
        <f t="shared" si="29"/>
        <v>1</v>
      </c>
    </row>
    <row r="386" ht="12.75" customHeight="1">
      <c r="A386" s="65"/>
      <c r="B386" s="66" t="s">
        <v>765</v>
      </c>
      <c r="C386" s="106">
        <v>78210.0</v>
      </c>
      <c r="D386" s="99">
        <v>13.0</v>
      </c>
      <c r="E386" s="106">
        <v>70946.69</v>
      </c>
      <c r="F386" s="68" t="s">
        <v>56</v>
      </c>
      <c r="G386" s="100">
        <v>45982.0</v>
      </c>
      <c r="H386" s="71" t="s">
        <v>543</v>
      </c>
      <c r="I386" s="69" t="s">
        <v>181</v>
      </c>
      <c r="J386" s="71" t="str">
        <f t="shared" si="162"/>
        <v>N/A</v>
      </c>
      <c r="K386" s="72" t="s">
        <v>181</v>
      </c>
      <c r="L386" s="72" t="s">
        <v>181</v>
      </c>
      <c r="M386" s="73"/>
      <c r="N386" s="73"/>
      <c r="O386" s="73"/>
      <c r="P386" s="73">
        <f t="shared" si="70"/>
        <v>0</v>
      </c>
      <c r="Q386" s="73">
        <f t="shared" si="71"/>
        <v>0</v>
      </c>
      <c r="R386" s="74" t="str">
        <f t="shared" si="72"/>
        <v>N/A</v>
      </c>
      <c r="S386" s="74" t="str">
        <f t="shared" si="73"/>
        <v>N/A</v>
      </c>
      <c r="T386" s="75"/>
      <c r="V386" s="76"/>
      <c r="W386" s="77"/>
      <c r="X386" s="77"/>
      <c r="Y386" s="77"/>
      <c r="Z386" s="77"/>
      <c r="AA386" s="77"/>
      <c r="AB386" s="78"/>
      <c r="AC386" s="77"/>
      <c r="AD386" s="79"/>
      <c r="AE386" s="80"/>
      <c r="AF386" s="81"/>
      <c r="AG386" s="79"/>
      <c r="AH386" s="80"/>
      <c r="AI386" s="82"/>
      <c r="AJ386" s="82"/>
      <c r="AK386" s="83"/>
      <c r="AL386" s="84"/>
      <c r="AP386" s="85">
        <f t="shared" si="9"/>
        <v>1</v>
      </c>
      <c r="AQ386" s="20">
        <f t="shared" si="10"/>
        <v>0</v>
      </c>
      <c r="AR386" s="20">
        <f t="shared" si="11"/>
        <v>0</v>
      </c>
      <c r="AS386" s="86">
        <f t="shared" si="12"/>
        <v>0</v>
      </c>
      <c r="AT386" s="87">
        <f t="shared" si="13"/>
        <v>0</v>
      </c>
      <c r="AU386" s="88">
        <f t="shared" si="81"/>
        <v>0</v>
      </c>
      <c r="AV386" s="89" t="str">
        <f t="shared" si="15"/>
        <v>#VALUE!</v>
      </c>
      <c r="AW386" s="90">
        <f t="shared" si="16"/>
        <v>0</v>
      </c>
      <c r="AY386" s="85">
        <f t="shared" si="17"/>
        <v>0</v>
      </c>
      <c r="AZ386" s="20">
        <f t="shared" si="18"/>
        <v>0</v>
      </c>
      <c r="BA386" s="20">
        <f t="shared" si="19"/>
        <v>0</v>
      </c>
      <c r="BB386" s="91">
        <f t="shared" si="20"/>
        <v>0</v>
      </c>
      <c r="BC386" s="87">
        <f t="shared" si="21"/>
        <v>0</v>
      </c>
      <c r="BD386" s="92">
        <f t="shared" si="22"/>
        <v>0</v>
      </c>
      <c r="BE386" s="89" t="str">
        <f t="shared" si="23"/>
        <v>#VALUE!</v>
      </c>
      <c r="BF386" s="90">
        <f t="shared" si="24"/>
        <v>0</v>
      </c>
      <c r="BH386" s="93">
        <f t="shared" si="25"/>
        <v>0</v>
      </c>
      <c r="BI386" s="94">
        <f t="shared" si="26"/>
        <v>0</v>
      </c>
      <c r="BJ386" s="95" t="str">
        <f t="shared" si="27"/>
        <v>#VALUE!</v>
      </c>
      <c r="BK386" s="96"/>
      <c r="BM386" s="97">
        <f t="shared" si="29"/>
        <v>1</v>
      </c>
    </row>
    <row r="387" ht="12.75" customHeight="1">
      <c r="A387" s="65"/>
      <c r="B387" s="66" t="s">
        <v>766</v>
      </c>
      <c r="C387" s="106">
        <v>81000.0</v>
      </c>
      <c r="D387" s="99">
        <v>13.0</v>
      </c>
      <c r="E387" s="106">
        <v>79290.25</v>
      </c>
      <c r="F387" s="68" t="s">
        <v>56</v>
      </c>
      <c r="G387" s="100">
        <v>45993.0</v>
      </c>
      <c r="H387" s="71" t="s">
        <v>543</v>
      </c>
      <c r="I387" s="69" t="s">
        <v>181</v>
      </c>
      <c r="J387" s="71" t="str">
        <f t="shared" si="162"/>
        <v>N/A</v>
      </c>
      <c r="K387" s="72" t="s">
        <v>181</v>
      </c>
      <c r="L387" s="72" t="s">
        <v>181</v>
      </c>
      <c r="M387" s="73"/>
      <c r="N387" s="73"/>
      <c r="O387" s="73"/>
      <c r="P387" s="73">
        <f t="shared" si="70"/>
        <v>0</v>
      </c>
      <c r="Q387" s="73">
        <f t="shared" si="71"/>
        <v>0</v>
      </c>
      <c r="R387" s="74" t="str">
        <f t="shared" si="72"/>
        <v>N/A</v>
      </c>
      <c r="S387" s="74" t="str">
        <f t="shared" si="73"/>
        <v>N/A</v>
      </c>
      <c r="T387" s="75"/>
      <c r="V387" s="76"/>
      <c r="W387" s="77"/>
      <c r="X387" s="77"/>
      <c r="Y387" s="77"/>
      <c r="Z387" s="77"/>
      <c r="AA387" s="77"/>
      <c r="AB387" s="78"/>
      <c r="AC387" s="77"/>
      <c r="AD387" s="79"/>
      <c r="AE387" s="80"/>
      <c r="AF387" s="81"/>
      <c r="AG387" s="79"/>
      <c r="AH387" s="80"/>
      <c r="AI387" s="82"/>
      <c r="AJ387" s="82"/>
      <c r="AK387" s="83"/>
      <c r="AL387" s="84"/>
      <c r="AP387" s="85">
        <f t="shared" si="9"/>
        <v>1</v>
      </c>
      <c r="AQ387" s="20">
        <f t="shared" si="10"/>
        <v>0</v>
      </c>
      <c r="AR387" s="20">
        <f t="shared" si="11"/>
        <v>0</v>
      </c>
      <c r="AS387" s="86">
        <f t="shared" si="12"/>
        <v>0</v>
      </c>
      <c r="AT387" s="87">
        <f t="shared" si="13"/>
        <v>0</v>
      </c>
      <c r="AU387" s="88">
        <f t="shared" si="81"/>
        <v>0</v>
      </c>
      <c r="AV387" s="89" t="str">
        <f t="shared" si="15"/>
        <v>#VALUE!</v>
      </c>
      <c r="AW387" s="90">
        <f t="shared" si="16"/>
        <v>0</v>
      </c>
      <c r="AY387" s="85">
        <f t="shared" si="17"/>
        <v>0</v>
      </c>
      <c r="AZ387" s="20">
        <f t="shared" si="18"/>
        <v>0</v>
      </c>
      <c r="BA387" s="20">
        <f t="shared" si="19"/>
        <v>0</v>
      </c>
      <c r="BB387" s="91">
        <f t="shared" si="20"/>
        <v>0</v>
      </c>
      <c r="BC387" s="87">
        <f t="shared" si="21"/>
        <v>0</v>
      </c>
      <c r="BD387" s="92">
        <f t="shared" si="22"/>
        <v>0</v>
      </c>
      <c r="BE387" s="89" t="str">
        <f t="shared" si="23"/>
        <v>#VALUE!</v>
      </c>
      <c r="BF387" s="90">
        <f t="shared" si="24"/>
        <v>0</v>
      </c>
      <c r="BH387" s="93">
        <f t="shared" si="25"/>
        <v>0</v>
      </c>
      <c r="BI387" s="94">
        <f t="shared" si="26"/>
        <v>0</v>
      </c>
      <c r="BJ387" s="95" t="str">
        <f t="shared" si="27"/>
        <v>#VALUE!</v>
      </c>
      <c r="BK387" s="96"/>
      <c r="BM387" s="97">
        <f t="shared" si="29"/>
        <v>1</v>
      </c>
    </row>
    <row r="388" ht="12.75" customHeight="1">
      <c r="A388" s="65"/>
      <c r="B388" s="66" t="s">
        <v>767</v>
      </c>
      <c r="C388" s="106">
        <v>59400.0</v>
      </c>
      <c r="D388" s="99">
        <v>13.0</v>
      </c>
      <c r="E388" s="106">
        <v>54333.58</v>
      </c>
      <c r="F388" s="68" t="s">
        <v>56</v>
      </c>
      <c r="G388" s="100">
        <v>45993.0</v>
      </c>
      <c r="H388" s="71" t="s">
        <v>543</v>
      </c>
      <c r="I388" s="69" t="s">
        <v>181</v>
      </c>
      <c r="J388" s="71" t="str">
        <f t="shared" si="162"/>
        <v>N/A</v>
      </c>
      <c r="K388" s="72" t="s">
        <v>181</v>
      </c>
      <c r="L388" s="72" t="s">
        <v>181</v>
      </c>
      <c r="M388" s="73"/>
      <c r="N388" s="73"/>
      <c r="O388" s="73"/>
      <c r="P388" s="73">
        <f t="shared" si="70"/>
        <v>0</v>
      </c>
      <c r="Q388" s="73">
        <f t="shared" si="71"/>
        <v>0</v>
      </c>
      <c r="R388" s="74" t="str">
        <f t="shared" si="72"/>
        <v>N/A</v>
      </c>
      <c r="S388" s="74" t="str">
        <f t="shared" si="73"/>
        <v>N/A</v>
      </c>
      <c r="T388" s="75"/>
      <c r="V388" s="76"/>
      <c r="W388" s="77"/>
      <c r="X388" s="77"/>
      <c r="Y388" s="77"/>
      <c r="Z388" s="77"/>
      <c r="AA388" s="77"/>
      <c r="AB388" s="78"/>
      <c r="AC388" s="77"/>
      <c r="AD388" s="79"/>
      <c r="AE388" s="80"/>
      <c r="AF388" s="81"/>
      <c r="AG388" s="79"/>
      <c r="AH388" s="80"/>
      <c r="AI388" s="82"/>
      <c r="AJ388" s="82"/>
      <c r="AK388" s="83"/>
      <c r="AL388" s="84"/>
      <c r="AP388" s="85">
        <f t="shared" si="9"/>
        <v>1</v>
      </c>
      <c r="AQ388" s="20">
        <f t="shared" si="10"/>
        <v>0</v>
      </c>
      <c r="AR388" s="20">
        <f t="shared" si="11"/>
        <v>0</v>
      </c>
      <c r="AS388" s="86">
        <f t="shared" si="12"/>
        <v>0</v>
      </c>
      <c r="AT388" s="87">
        <f t="shared" si="13"/>
        <v>0</v>
      </c>
      <c r="AU388" s="88">
        <f t="shared" si="81"/>
        <v>0</v>
      </c>
      <c r="AV388" s="89" t="str">
        <f t="shared" si="15"/>
        <v>#VALUE!</v>
      </c>
      <c r="AW388" s="90">
        <f t="shared" si="16"/>
        <v>0</v>
      </c>
      <c r="AY388" s="85">
        <f t="shared" si="17"/>
        <v>0</v>
      </c>
      <c r="AZ388" s="20">
        <f t="shared" si="18"/>
        <v>0</v>
      </c>
      <c r="BA388" s="20">
        <f t="shared" si="19"/>
        <v>0</v>
      </c>
      <c r="BB388" s="91">
        <f t="shared" si="20"/>
        <v>0</v>
      </c>
      <c r="BC388" s="87">
        <f t="shared" si="21"/>
        <v>0</v>
      </c>
      <c r="BD388" s="92">
        <f t="shared" si="22"/>
        <v>0</v>
      </c>
      <c r="BE388" s="89" t="str">
        <f t="shared" si="23"/>
        <v>#VALUE!</v>
      </c>
      <c r="BF388" s="90">
        <f t="shared" si="24"/>
        <v>0</v>
      </c>
      <c r="BH388" s="93">
        <f t="shared" si="25"/>
        <v>0</v>
      </c>
      <c r="BI388" s="94">
        <f t="shared" si="26"/>
        <v>0</v>
      </c>
      <c r="BJ388" s="95" t="str">
        <f t="shared" si="27"/>
        <v>#VALUE!</v>
      </c>
      <c r="BK388" s="96"/>
      <c r="BM388" s="97">
        <f t="shared" si="29"/>
        <v>1</v>
      </c>
    </row>
    <row r="389" ht="12.75" customHeight="1">
      <c r="A389" s="65"/>
      <c r="B389" s="66" t="s">
        <v>768</v>
      </c>
      <c r="C389" s="67">
        <f>20610.19+22700</f>
        <v>43310.19</v>
      </c>
      <c r="D389" s="99">
        <v>13.0</v>
      </c>
      <c r="E389" s="106" t="s">
        <v>769</v>
      </c>
      <c r="F389" s="68" t="s">
        <v>64</v>
      </c>
      <c r="G389" s="99" t="s">
        <v>770</v>
      </c>
      <c r="H389" s="71" t="s">
        <v>543</v>
      </c>
      <c r="I389" s="69" t="s">
        <v>181</v>
      </c>
      <c r="J389" s="71" t="str">
        <f t="shared" si="162"/>
        <v>N/A</v>
      </c>
      <c r="K389" s="72" t="s">
        <v>181</v>
      </c>
      <c r="L389" s="72" t="s">
        <v>181</v>
      </c>
      <c r="M389" s="73"/>
      <c r="N389" s="73"/>
      <c r="O389" s="73"/>
      <c r="P389" s="73">
        <f t="shared" si="70"/>
        <v>0</v>
      </c>
      <c r="Q389" s="73">
        <f t="shared" si="71"/>
        <v>0</v>
      </c>
      <c r="R389" s="74" t="str">
        <f t="shared" si="72"/>
        <v>N/A</v>
      </c>
      <c r="S389" s="74" t="str">
        <f t="shared" si="73"/>
        <v>N/A</v>
      </c>
      <c r="T389" s="75"/>
      <c r="V389" s="76"/>
      <c r="W389" s="77"/>
      <c r="X389" s="77"/>
      <c r="Y389" s="77"/>
      <c r="Z389" s="77"/>
      <c r="AA389" s="77"/>
      <c r="AB389" s="78"/>
      <c r="AC389" s="77"/>
      <c r="AD389" s="79"/>
      <c r="AE389" s="80"/>
      <c r="AF389" s="81"/>
      <c r="AG389" s="79"/>
      <c r="AH389" s="80"/>
      <c r="AI389" s="82"/>
      <c r="AJ389" s="82"/>
      <c r="AK389" s="83"/>
      <c r="AL389" s="84"/>
      <c r="AP389" s="85">
        <f t="shared" si="9"/>
        <v>0</v>
      </c>
      <c r="AQ389" s="20">
        <f t="shared" si="10"/>
        <v>0</v>
      </c>
      <c r="AR389" s="20">
        <f t="shared" si="11"/>
        <v>0</v>
      </c>
      <c r="AS389" s="86">
        <f t="shared" si="12"/>
        <v>0</v>
      </c>
      <c r="AT389" s="87" t="str">
        <f t="shared" si="13"/>
        <v>#VALUE!</v>
      </c>
      <c r="AU389" s="88">
        <f t="shared" si="81"/>
        <v>0</v>
      </c>
      <c r="AV389" s="89" t="str">
        <f t="shared" si="15"/>
        <v>#VALUE!</v>
      </c>
      <c r="AW389" s="90">
        <f t="shared" si="16"/>
        <v>0</v>
      </c>
      <c r="AY389" s="85">
        <f t="shared" si="17"/>
        <v>1</v>
      </c>
      <c r="AZ389" s="20">
        <f t="shared" si="18"/>
        <v>0</v>
      </c>
      <c r="BA389" s="20">
        <f t="shared" si="19"/>
        <v>0</v>
      </c>
      <c r="BB389" s="91">
        <f t="shared" si="20"/>
        <v>0</v>
      </c>
      <c r="BC389" s="87" t="str">
        <f t="shared" si="21"/>
        <v>#VALUE!</v>
      </c>
      <c r="BD389" s="92">
        <f t="shared" si="22"/>
        <v>0</v>
      </c>
      <c r="BE389" s="89" t="str">
        <f t="shared" si="23"/>
        <v>#VALUE!</v>
      </c>
      <c r="BF389" s="90">
        <f t="shared" si="24"/>
        <v>0</v>
      </c>
      <c r="BH389" s="93" t="str">
        <f t="shared" si="25"/>
        <v>#VALUE!</v>
      </c>
      <c r="BI389" s="94">
        <f t="shared" si="26"/>
        <v>0</v>
      </c>
      <c r="BJ389" s="95" t="str">
        <f t="shared" si="27"/>
        <v>#VALUE!</v>
      </c>
      <c r="BK389" s="96"/>
      <c r="BM389" s="97">
        <f t="shared" si="29"/>
        <v>1</v>
      </c>
    </row>
    <row r="390" ht="12.75" customHeight="1">
      <c r="A390" s="65"/>
      <c r="B390" s="66" t="s">
        <v>771</v>
      </c>
      <c r="C390" s="106">
        <v>35400.0</v>
      </c>
      <c r="D390" s="99">
        <v>13.0</v>
      </c>
      <c r="E390" s="106" t="s">
        <v>772</v>
      </c>
      <c r="F390" s="68" t="s">
        <v>56</v>
      </c>
      <c r="G390" s="99" t="s">
        <v>773</v>
      </c>
      <c r="H390" s="71" t="s">
        <v>543</v>
      </c>
      <c r="I390" s="69" t="s">
        <v>181</v>
      </c>
      <c r="J390" s="71" t="str">
        <f t="shared" si="162"/>
        <v>N/A</v>
      </c>
      <c r="K390" s="72" t="s">
        <v>181</v>
      </c>
      <c r="L390" s="72" t="s">
        <v>181</v>
      </c>
      <c r="M390" s="73"/>
      <c r="N390" s="73"/>
      <c r="O390" s="73"/>
      <c r="P390" s="73">
        <f t="shared" si="70"/>
        <v>0</v>
      </c>
      <c r="Q390" s="73">
        <f t="shared" si="71"/>
        <v>0</v>
      </c>
      <c r="R390" s="74" t="str">
        <f t="shared" si="72"/>
        <v>N/A</v>
      </c>
      <c r="S390" s="74" t="str">
        <f t="shared" si="73"/>
        <v>N/A</v>
      </c>
      <c r="T390" s="75"/>
      <c r="V390" s="76"/>
      <c r="W390" s="77"/>
      <c r="X390" s="77"/>
      <c r="Y390" s="77"/>
      <c r="Z390" s="77"/>
      <c r="AA390" s="77"/>
      <c r="AB390" s="78"/>
      <c r="AC390" s="77"/>
      <c r="AD390" s="79"/>
      <c r="AE390" s="80"/>
      <c r="AF390" s="81"/>
      <c r="AG390" s="79"/>
      <c r="AH390" s="80"/>
      <c r="AI390" s="82"/>
      <c r="AJ390" s="82"/>
      <c r="AK390" s="83"/>
      <c r="AL390" s="84"/>
      <c r="AP390" s="117">
        <f t="shared" ref="AP390:AP394" si="163">IF(F390="Legal Foreclosure",1,0)</f>
        <v>1</v>
      </c>
      <c r="AQ390" s="118">
        <f t="shared" ref="AQ390:AQ394" si="164">IF(I390="N/A",0,1)</f>
        <v>0</v>
      </c>
      <c r="AR390" s="118">
        <f t="shared" si="11"/>
        <v>0</v>
      </c>
      <c r="AS390" s="119">
        <f t="shared" si="12"/>
        <v>0</v>
      </c>
      <c r="AT390" s="120" t="str">
        <f t="shared" si="13"/>
        <v>#VALUE!</v>
      </c>
      <c r="AU390" s="121">
        <f t="shared" ref="AU390:AU394" si="165">IF(AR390=1,J390,0)</f>
        <v>0</v>
      </c>
      <c r="AV390" s="122" t="str">
        <f t="shared" si="15"/>
        <v>#VALUE!</v>
      </c>
      <c r="AW390" s="123">
        <f t="shared" ref="AW390:AW394" si="166">IF(AR390=0,0,R390*AV390)</f>
        <v>0</v>
      </c>
      <c r="AY390" s="117">
        <f t="shared" ref="AY390:AY394" si="167">IF(F390="Deed in Lieu",1,0)</f>
        <v>0</v>
      </c>
      <c r="AZ390" s="118">
        <f t="shared" ref="AZ390:AZ394" si="168">IF(I390="N/A",0,1)</f>
        <v>0</v>
      </c>
      <c r="BA390" s="118">
        <f t="shared" si="19"/>
        <v>0</v>
      </c>
      <c r="BB390" s="124">
        <f t="shared" si="20"/>
        <v>0</v>
      </c>
      <c r="BC390" s="120" t="str">
        <f t="shared" si="21"/>
        <v>#VALUE!</v>
      </c>
      <c r="BD390" s="125">
        <f t="shared" ref="BD390:BD394" si="169">IF(BA390=1,J390,0)</f>
        <v>0</v>
      </c>
      <c r="BE390" s="122" t="str">
        <f t="shared" si="23"/>
        <v>#VALUE!</v>
      </c>
      <c r="BF390" s="123">
        <f t="shared" ref="BF390:BF394" si="170">IF(BA390=0,0,R390*BE390)</f>
        <v>0</v>
      </c>
      <c r="BH390" s="93" t="str">
        <f t="shared" si="25"/>
        <v>#VALUE!</v>
      </c>
      <c r="BI390" s="94">
        <f t="shared" si="26"/>
        <v>0</v>
      </c>
      <c r="BJ390" s="95" t="str">
        <f t="shared" si="27"/>
        <v>#VALUE!</v>
      </c>
      <c r="BK390" s="96"/>
      <c r="BM390" s="97">
        <f t="shared" si="29"/>
        <v>1</v>
      </c>
    </row>
    <row r="391" ht="12.75" customHeight="1">
      <c r="A391" s="65"/>
      <c r="B391" s="66"/>
      <c r="C391" s="106"/>
      <c r="D391" s="99"/>
      <c r="E391" s="106"/>
      <c r="F391" s="68"/>
      <c r="G391" s="99"/>
      <c r="H391" s="71"/>
      <c r="I391" s="69"/>
      <c r="J391" s="71"/>
      <c r="K391" s="72"/>
      <c r="L391" s="72"/>
      <c r="M391" s="73"/>
      <c r="N391" s="73"/>
      <c r="O391" s="73"/>
      <c r="P391" s="73"/>
      <c r="Q391" s="73"/>
      <c r="R391" s="74"/>
      <c r="S391" s="74"/>
      <c r="T391" s="75"/>
      <c r="V391" s="76"/>
      <c r="W391" s="77"/>
      <c r="X391" s="77"/>
      <c r="Y391" s="77"/>
      <c r="Z391" s="77"/>
      <c r="AA391" s="77"/>
      <c r="AB391" s="78"/>
      <c r="AC391" s="77"/>
      <c r="AD391" s="79"/>
      <c r="AE391" s="80"/>
      <c r="AF391" s="81"/>
      <c r="AG391" s="79"/>
      <c r="AH391" s="80"/>
      <c r="AI391" s="82"/>
      <c r="AJ391" s="82"/>
      <c r="AK391" s="83"/>
      <c r="AL391" s="84"/>
      <c r="AP391" s="117">
        <f t="shared" si="163"/>
        <v>0</v>
      </c>
      <c r="AQ391" s="118">
        <f t="shared" si="164"/>
        <v>1</v>
      </c>
      <c r="AR391" s="118">
        <f t="shared" si="11"/>
        <v>0</v>
      </c>
      <c r="AS391" s="119">
        <f t="shared" si="12"/>
        <v>0</v>
      </c>
      <c r="AT391" s="120">
        <f t="shared" si="13"/>
        <v>0</v>
      </c>
      <c r="AU391" s="121">
        <f t="shared" si="165"/>
        <v>0</v>
      </c>
      <c r="AV391" s="122" t="str">
        <f t="shared" si="15"/>
        <v>#VALUE!</v>
      </c>
      <c r="AW391" s="123">
        <f t="shared" si="166"/>
        <v>0</v>
      </c>
      <c r="AY391" s="117">
        <f t="shared" si="167"/>
        <v>0</v>
      </c>
      <c r="AZ391" s="118">
        <f t="shared" si="168"/>
        <v>1</v>
      </c>
      <c r="BA391" s="118">
        <f t="shared" si="19"/>
        <v>0</v>
      </c>
      <c r="BB391" s="124">
        <f t="shared" si="20"/>
        <v>0</v>
      </c>
      <c r="BC391" s="120">
        <f t="shared" si="21"/>
        <v>0</v>
      </c>
      <c r="BD391" s="125">
        <f t="shared" si="169"/>
        <v>0</v>
      </c>
      <c r="BE391" s="122" t="str">
        <f t="shared" si="23"/>
        <v>#VALUE!</v>
      </c>
      <c r="BF391" s="123">
        <f t="shared" si="170"/>
        <v>0</v>
      </c>
      <c r="BH391" s="93">
        <f t="shared" si="25"/>
        <v>0</v>
      </c>
      <c r="BI391" s="94">
        <f t="shared" si="26"/>
        <v>0</v>
      </c>
      <c r="BJ391" s="95" t="str">
        <f t="shared" si="27"/>
        <v>#VALUE!</v>
      </c>
      <c r="BK391" s="96"/>
      <c r="BM391" s="97">
        <f t="shared" si="29"/>
        <v>0</v>
      </c>
    </row>
    <row r="392" ht="12.75" customHeight="1">
      <c r="A392" s="65"/>
      <c r="B392" s="115"/>
      <c r="C392" s="67"/>
      <c r="D392" s="68"/>
      <c r="E392" s="67"/>
      <c r="F392" s="68"/>
      <c r="G392" s="69"/>
      <c r="H392" s="71"/>
      <c r="I392" s="69"/>
      <c r="J392" s="71"/>
      <c r="K392" s="72"/>
      <c r="L392" s="72"/>
      <c r="M392" s="73"/>
      <c r="N392" s="73"/>
      <c r="O392" s="73"/>
      <c r="P392" s="73"/>
      <c r="Q392" s="73"/>
      <c r="R392" s="74"/>
      <c r="S392" s="74"/>
      <c r="T392" s="75"/>
      <c r="V392" s="76"/>
      <c r="W392" s="77"/>
      <c r="X392" s="77"/>
      <c r="Y392" s="77"/>
      <c r="Z392" s="77"/>
      <c r="AA392" s="77"/>
      <c r="AB392" s="78"/>
      <c r="AC392" s="77"/>
      <c r="AD392" s="79"/>
      <c r="AE392" s="80"/>
      <c r="AF392" s="81"/>
      <c r="AG392" s="79"/>
      <c r="AH392" s="80"/>
      <c r="AI392" s="82"/>
      <c r="AJ392" s="82"/>
      <c r="AK392" s="83"/>
      <c r="AL392" s="84"/>
      <c r="AP392" s="117">
        <f t="shared" si="163"/>
        <v>0</v>
      </c>
      <c r="AQ392" s="118">
        <f t="shared" si="164"/>
        <v>1</v>
      </c>
      <c r="AR392" s="118">
        <f t="shared" si="11"/>
        <v>0</v>
      </c>
      <c r="AS392" s="119">
        <f t="shared" si="12"/>
        <v>0</v>
      </c>
      <c r="AT392" s="120">
        <f t="shared" si="13"/>
        <v>0</v>
      </c>
      <c r="AU392" s="121">
        <f t="shared" si="165"/>
        <v>0</v>
      </c>
      <c r="AV392" s="122" t="str">
        <f t="shared" si="15"/>
        <v>#VALUE!</v>
      </c>
      <c r="AW392" s="123">
        <f t="shared" si="166"/>
        <v>0</v>
      </c>
      <c r="AY392" s="117">
        <f t="shared" si="167"/>
        <v>0</v>
      </c>
      <c r="AZ392" s="118">
        <f t="shared" si="168"/>
        <v>1</v>
      </c>
      <c r="BA392" s="118">
        <f t="shared" si="19"/>
        <v>0</v>
      </c>
      <c r="BB392" s="124">
        <f t="shared" si="20"/>
        <v>0</v>
      </c>
      <c r="BC392" s="120">
        <f t="shared" si="21"/>
        <v>0</v>
      </c>
      <c r="BD392" s="125">
        <f t="shared" si="169"/>
        <v>0</v>
      </c>
      <c r="BE392" s="122" t="str">
        <f t="shared" si="23"/>
        <v>#VALUE!</v>
      </c>
      <c r="BF392" s="123">
        <f t="shared" si="170"/>
        <v>0</v>
      </c>
      <c r="BH392" s="93">
        <f t="shared" si="25"/>
        <v>0</v>
      </c>
      <c r="BI392" s="94">
        <f t="shared" si="26"/>
        <v>0</v>
      </c>
      <c r="BJ392" s="95" t="str">
        <f t="shared" si="27"/>
        <v>#VALUE!</v>
      </c>
      <c r="BK392" s="96"/>
      <c r="BM392" s="97">
        <f t="shared" si="29"/>
        <v>0</v>
      </c>
    </row>
    <row r="393" ht="12.75" customHeight="1">
      <c r="A393" s="65"/>
      <c r="B393" s="126"/>
      <c r="C393" s="127"/>
      <c r="D393" s="127"/>
      <c r="E393" s="128"/>
      <c r="F393" s="129"/>
      <c r="G393" s="130"/>
      <c r="H393" s="131"/>
      <c r="I393" s="132"/>
      <c r="J393" s="131"/>
      <c r="K393" s="133"/>
      <c r="L393" s="134"/>
      <c r="M393" s="135"/>
      <c r="N393" s="135"/>
      <c r="O393" s="135"/>
      <c r="P393" s="135"/>
      <c r="Q393" s="135"/>
      <c r="R393" s="136"/>
      <c r="S393" s="137"/>
      <c r="T393" s="75"/>
      <c r="V393" s="138"/>
      <c r="W393" s="139"/>
      <c r="X393" s="139"/>
      <c r="Y393" s="139"/>
      <c r="Z393" s="139"/>
      <c r="AA393" s="139"/>
      <c r="AB393" s="140"/>
      <c r="AC393" s="139"/>
      <c r="AD393" s="141"/>
      <c r="AE393" s="142"/>
      <c r="AF393" s="143"/>
      <c r="AG393" s="141"/>
      <c r="AH393" s="142"/>
      <c r="AI393" s="144"/>
      <c r="AJ393" s="144"/>
      <c r="AK393" s="144"/>
      <c r="AL393" s="145"/>
      <c r="AP393" s="117">
        <f t="shared" si="163"/>
        <v>0</v>
      </c>
      <c r="AQ393" s="118">
        <f t="shared" si="164"/>
        <v>1</v>
      </c>
      <c r="AR393" s="118">
        <f t="shared" si="11"/>
        <v>0</v>
      </c>
      <c r="AS393" s="119">
        <f t="shared" si="12"/>
        <v>0</v>
      </c>
      <c r="AT393" s="120">
        <f t="shared" si="13"/>
        <v>0</v>
      </c>
      <c r="AU393" s="121">
        <f t="shared" si="165"/>
        <v>0</v>
      </c>
      <c r="AV393" s="122" t="str">
        <f t="shared" si="15"/>
        <v>#VALUE!</v>
      </c>
      <c r="AW393" s="123">
        <f t="shared" si="166"/>
        <v>0</v>
      </c>
      <c r="AX393" s="5"/>
      <c r="AY393" s="117">
        <f t="shared" si="167"/>
        <v>0</v>
      </c>
      <c r="AZ393" s="118">
        <f t="shared" si="168"/>
        <v>1</v>
      </c>
      <c r="BA393" s="118">
        <f t="shared" si="19"/>
        <v>0</v>
      </c>
      <c r="BB393" s="124">
        <f t="shared" si="20"/>
        <v>0</v>
      </c>
      <c r="BC393" s="120">
        <f t="shared" si="21"/>
        <v>0</v>
      </c>
      <c r="BD393" s="125">
        <f t="shared" si="169"/>
        <v>0</v>
      </c>
      <c r="BE393" s="122" t="str">
        <f t="shared" si="23"/>
        <v>#VALUE!</v>
      </c>
      <c r="BF393" s="123">
        <f t="shared" si="170"/>
        <v>0</v>
      </c>
      <c r="BH393" s="93">
        <f t="shared" si="25"/>
        <v>0</v>
      </c>
      <c r="BI393" s="94">
        <f t="shared" si="26"/>
        <v>0</v>
      </c>
      <c r="BJ393" s="95" t="str">
        <f t="shared" si="27"/>
        <v>#VALUE!</v>
      </c>
      <c r="BK393" s="96"/>
      <c r="BM393" s="97">
        <f t="shared" si="29"/>
        <v>0</v>
      </c>
    </row>
    <row r="394" ht="12.75" customHeight="1">
      <c r="A394" s="65"/>
      <c r="B394" s="126"/>
      <c r="C394" s="127"/>
      <c r="D394" s="127"/>
      <c r="E394" s="128"/>
      <c r="F394" s="129"/>
      <c r="G394" s="129"/>
      <c r="H394" s="131"/>
      <c r="I394" s="146"/>
      <c r="J394" s="131"/>
      <c r="K394" s="133"/>
      <c r="L394" s="134"/>
      <c r="M394" s="135"/>
      <c r="N394" s="147"/>
      <c r="O394" s="135"/>
      <c r="P394" s="135"/>
      <c r="Q394" s="135"/>
      <c r="R394" s="148" t="s">
        <v>774</v>
      </c>
      <c r="S394" s="149"/>
      <c r="T394" s="75"/>
      <c r="V394" s="138"/>
      <c r="W394" s="139"/>
      <c r="X394" s="139"/>
      <c r="Y394" s="139"/>
      <c r="Z394" s="139"/>
      <c r="AA394" s="139"/>
      <c r="AB394" s="140"/>
      <c r="AC394" s="139"/>
      <c r="AD394" s="141"/>
      <c r="AE394" s="142"/>
      <c r="AF394" s="143"/>
      <c r="AG394" s="141"/>
      <c r="AH394" s="142"/>
      <c r="AI394" s="144"/>
      <c r="AJ394" s="144"/>
      <c r="AK394" s="144"/>
      <c r="AL394" s="145"/>
      <c r="AP394" s="117">
        <f t="shared" si="163"/>
        <v>0</v>
      </c>
      <c r="AQ394" s="118">
        <f t="shared" si="164"/>
        <v>1</v>
      </c>
      <c r="AR394" s="118">
        <f t="shared" si="11"/>
        <v>0</v>
      </c>
      <c r="AS394" s="119">
        <f t="shared" si="12"/>
        <v>0</v>
      </c>
      <c r="AT394" s="120">
        <f t="shared" si="13"/>
        <v>0</v>
      </c>
      <c r="AU394" s="121">
        <f t="shared" si="165"/>
        <v>0</v>
      </c>
      <c r="AV394" s="122" t="str">
        <f t="shared" si="15"/>
        <v>#VALUE!</v>
      </c>
      <c r="AW394" s="123">
        <f t="shared" si="166"/>
        <v>0</v>
      </c>
      <c r="AY394" s="117">
        <f t="shared" si="167"/>
        <v>0</v>
      </c>
      <c r="AZ394" s="118">
        <f t="shared" si="168"/>
        <v>1</v>
      </c>
      <c r="BA394" s="118">
        <f t="shared" si="19"/>
        <v>0</v>
      </c>
      <c r="BB394" s="124">
        <f t="shared" si="20"/>
        <v>0</v>
      </c>
      <c r="BC394" s="120">
        <f t="shared" si="21"/>
        <v>0</v>
      </c>
      <c r="BD394" s="125">
        <f t="shared" si="169"/>
        <v>0</v>
      </c>
      <c r="BE394" s="122" t="str">
        <f t="shared" si="23"/>
        <v>#VALUE!</v>
      </c>
      <c r="BF394" s="123">
        <f t="shared" si="170"/>
        <v>0</v>
      </c>
      <c r="BG394" s="5"/>
      <c r="BH394" s="93">
        <f t="shared" si="25"/>
        <v>0</v>
      </c>
      <c r="BI394" s="94">
        <f t="shared" si="26"/>
        <v>0</v>
      </c>
      <c r="BJ394" s="95" t="str">
        <f t="shared" si="27"/>
        <v>#VALUE!</v>
      </c>
      <c r="BK394" s="96"/>
      <c r="BL394" s="5"/>
      <c r="BM394" s="97">
        <f t="shared" si="29"/>
        <v>0</v>
      </c>
    </row>
    <row r="395" ht="12.75" customHeight="1">
      <c r="A395" s="65"/>
      <c r="B395" s="150"/>
      <c r="C395" s="151"/>
      <c r="D395" s="151"/>
      <c r="E395" s="152" t="s">
        <v>775</v>
      </c>
      <c r="F395" s="152" t="s">
        <v>776</v>
      </c>
      <c r="G395" s="152" t="s">
        <v>777</v>
      </c>
      <c r="H395" s="152" t="s">
        <v>778</v>
      </c>
      <c r="I395" s="151"/>
      <c r="J395" s="153" t="s">
        <v>779</v>
      </c>
      <c r="K395" s="153"/>
      <c r="L395" s="152"/>
      <c r="M395" s="152"/>
      <c r="N395" s="152"/>
      <c r="O395" s="152"/>
      <c r="P395" s="152"/>
      <c r="Q395" s="152"/>
      <c r="R395" s="154" t="s">
        <v>780</v>
      </c>
      <c r="S395" s="154" t="s">
        <v>781</v>
      </c>
      <c r="T395" s="51"/>
      <c r="V395" s="138"/>
      <c r="W395" s="139"/>
      <c r="X395" s="139"/>
      <c r="Y395" s="139"/>
      <c r="Z395" s="139"/>
      <c r="AA395" s="139"/>
      <c r="AB395" s="140"/>
      <c r="AC395" s="139"/>
      <c r="AD395" s="141"/>
      <c r="AE395" s="142"/>
      <c r="AF395" s="143"/>
      <c r="AG395" s="141"/>
      <c r="AH395" s="142"/>
      <c r="AI395" s="144"/>
      <c r="AJ395" s="144"/>
      <c r="AK395" s="144"/>
      <c r="AL395" s="145"/>
      <c r="AP395" s="155">
        <f t="shared" ref="AP395:AW395" si="171">SUM(AP7:AP394)</f>
        <v>236</v>
      </c>
      <c r="AQ395" s="155">
        <f t="shared" si="171"/>
        <v>367</v>
      </c>
      <c r="AR395" s="156">
        <f t="shared" si="171"/>
        <v>226</v>
      </c>
      <c r="AS395" s="157">
        <f t="shared" si="171"/>
        <v>1915527.82</v>
      </c>
      <c r="AT395" s="157" t="str">
        <f t="shared" si="171"/>
        <v>#VALUE!</v>
      </c>
      <c r="AU395" s="158">
        <f t="shared" si="171"/>
        <v>2084.366667</v>
      </c>
      <c r="AV395" s="159" t="str">
        <f t="shared" si="171"/>
        <v>#VALUE!</v>
      </c>
      <c r="AW395" s="160" t="str">
        <f t="shared" si="171"/>
        <v>#VALUE!</v>
      </c>
      <c r="AX395" s="161"/>
      <c r="AY395" s="155">
        <f>SUM(AY7:AY394)</f>
        <v>148</v>
      </c>
      <c r="AZ395" s="156"/>
      <c r="BA395" s="156">
        <f t="shared" ref="BA395:BF395" si="172">SUM(BA7:BA394)</f>
        <v>137</v>
      </c>
      <c r="BB395" s="162">
        <f t="shared" si="172"/>
        <v>681556.354</v>
      </c>
      <c r="BC395" s="162" t="str">
        <f t="shared" si="172"/>
        <v>#VALUE!</v>
      </c>
      <c r="BD395" s="158">
        <f t="shared" si="172"/>
        <v>982.7666667</v>
      </c>
      <c r="BE395" s="163" t="str">
        <f t="shared" si="172"/>
        <v>#VALUE!</v>
      </c>
      <c r="BF395" s="160" t="str">
        <f t="shared" si="172"/>
        <v>#VALUE!</v>
      </c>
      <c r="BH395" s="164" t="str">
        <f>SUM(BH7:BH394)</f>
        <v>#VALUE!</v>
      </c>
      <c r="BI395" s="165"/>
      <c r="BJ395" s="166" t="str">
        <f t="shared" ref="BJ395:BK395" si="173">SUM(BJ7:BJ394)</f>
        <v>#VALUE!</v>
      </c>
      <c r="BK395" s="167" t="str">
        <f t="shared" si="173"/>
        <v>#VALUE!</v>
      </c>
      <c r="BM395" s="168">
        <f>SUM(BM7:BM394)</f>
        <v>384</v>
      </c>
    </row>
    <row r="396" ht="12.75" customHeight="1">
      <c r="A396" s="169"/>
      <c r="B396" s="170" t="s">
        <v>782</v>
      </c>
      <c r="C396" s="171"/>
      <c r="D396" s="171"/>
      <c r="E396" s="172">
        <f>SUM(E7:E392)</f>
        <v>12040865.35</v>
      </c>
      <c r="F396" s="173">
        <f>BM395</f>
        <v>384</v>
      </c>
      <c r="G396" s="174">
        <f t="shared" ref="G396:H396" si="174">SUM(G398:G399)</f>
        <v>1</v>
      </c>
      <c r="H396" s="174">
        <f t="shared" si="174"/>
        <v>1</v>
      </c>
      <c r="I396" s="172"/>
      <c r="J396" s="175">
        <f>SUM(J7:J392)/(AR395+BA395)</f>
        <v>8.523140496</v>
      </c>
      <c r="K396" s="176"/>
      <c r="L396" s="172">
        <f t="shared" ref="L396:Q396" si="175">SUM(L7:L392)</f>
        <v>15905529.81</v>
      </c>
      <c r="M396" s="172">
        <f t="shared" si="175"/>
        <v>426292.6122</v>
      </c>
      <c r="N396" s="172">
        <f t="shared" si="175"/>
        <v>1911599.494</v>
      </c>
      <c r="O396" s="172">
        <f t="shared" si="175"/>
        <v>685484.68</v>
      </c>
      <c r="P396" s="172">
        <f t="shared" si="175"/>
        <v>56172.73</v>
      </c>
      <c r="Q396" s="172">
        <f t="shared" si="175"/>
        <v>516302.8818</v>
      </c>
      <c r="R396" s="177" t="str">
        <f>BK395</f>
        <v>#VALUE!</v>
      </c>
      <c r="S396" s="178" t="str">
        <f>1-R396</f>
        <v>#VALUE!</v>
      </c>
      <c r="T396" s="169"/>
      <c r="V396" s="138"/>
      <c r="W396" s="139"/>
      <c r="X396" s="139"/>
      <c r="Y396" s="139"/>
      <c r="Z396" s="139"/>
      <c r="AA396" s="139"/>
      <c r="AB396" s="140"/>
      <c r="AC396" s="139"/>
      <c r="AD396" s="141"/>
      <c r="AE396" s="142"/>
      <c r="AF396" s="143"/>
      <c r="AG396" s="141"/>
      <c r="AH396" s="142"/>
      <c r="AI396" s="144"/>
      <c r="AJ396" s="144"/>
      <c r="AK396" s="144"/>
      <c r="AL396" s="145"/>
      <c r="AP396" s="179" t="s">
        <v>783</v>
      </c>
      <c r="AQ396" s="180"/>
      <c r="AR396" s="180" t="s">
        <v>784</v>
      </c>
      <c r="AS396" s="180"/>
      <c r="AT396" s="94"/>
      <c r="AU396" s="94"/>
      <c r="AV396" s="94"/>
      <c r="AW396" s="181"/>
      <c r="AY396" s="85"/>
      <c r="AZ396" s="20"/>
      <c r="BA396" s="20"/>
      <c r="BB396" s="20"/>
      <c r="BC396" s="87"/>
      <c r="BD396" s="182"/>
      <c r="BE396" s="87"/>
      <c r="BF396" s="183"/>
      <c r="BH396" s="161"/>
      <c r="BI396" s="5"/>
      <c r="BJ396" s="5"/>
      <c r="BK396" s="184"/>
      <c r="BM396" s="97"/>
    </row>
    <row r="397" ht="12.75" customHeight="1">
      <c r="A397" s="65"/>
      <c r="B397" s="150"/>
      <c r="C397" s="151"/>
      <c r="D397" s="151"/>
      <c r="E397" s="151"/>
      <c r="F397" s="185"/>
      <c r="G397" s="185"/>
      <c r="H397" s="185"/>
      <c r="I397" s="151"/>
      <c r="J397" s="153"/>
      <c r="K397" s="153"/>
      <c r="L397" s="151"/>
      <c r="M397" s="151"/>
      <c r="N397" s="151"/>
      <c r="O397" s="151"/>
      <c r="P397" s="151"/>
      <c r="Q397" s="151"/>
      <c r="R397" s="151"/>
      <c r="S397" s="151"/>
      <c r="T397" s="186"/>
      <c r="V397" s="138"/>
      <c r="W397" s="139"/>
      <c r="X397" s="139"/>
      <c r="Y397" s="139"/>
      <c r="Z397" s="139"/>
      <c r="AA397" s="139"/>
      <c r="AB397" s="140"/>
      <c r="AC397" s="139"/>
      <c r="AD397" s="141"/>
      <c r="AE397" s="142"/>
      <c r="AF397" s="143"/>
      <c r="AG397" s="141"/>
      <c r="AH397" s="142"/>
      <c r="AI397" s="144"/>
      <c r="AJ397" s="144"/>
      <c r="AK397" s="144"/>
      <c r="AL397" s="145"/>
      <c r="AP397" s="85"/>
      <c r="AQ397" s="20"/>
      <c r="AR397" s="20"/>
      <c r="AS397" s="20"/>
      <c r="AT397" s="87"/>
      <c r="AU397" s="87"/>
      <c r="AV397" s="87"/>
      <c r="AW397" s="183"/>
      <c r="AY397" s="85"/>
      <c r="AZ397" s="20"/>
      <c r="BA397" s="20"/>
      <c r="BB397" s="20"/>
      <c r="BC397" s="87"/>
      <c r="BD397" s="182"/>
      <c r="BE397" s="87"/>
      <c r="BF397" s="183"/>
      <c r="BH397" s="161"/>
      <c r="BI397" s="5"/>
      <c r="BJ397" s="5"/>
      <c r="BK397" s="184"/>
      <c r="BM397" s="97"/>
    </row>
    <row r="398" ht="12.75" customHeight="1">
      <c r="A398" s="65"/>
      <c r="B398" s="187" t="s">
        <v>56</v>
      </c>
      <c r="C398" s="188"/>
      <c r="D398" s="188"/>
      <c r="E398" s="189">
        <f>SUMIF(F7:F392,"Legal Foreclosure",E7:E392)</f>
        <v>7260956.24</v>
      </c>
      <c r="F398" s="190">
        <f>AP395</f>
        <v>236</v>
      </c>
      <c r="G398" s="191">
        <f t="shared" ref="G398:G399" si="177">E398/$E$396</f>
        <v>0.6030261139</v>
      </c>
      <c r="H398" s="191">
        <f t="shared" ref="H398:H399" si="178">F398/$F$396</f>
        <v>0.6145833333</v>
      </c>
      <c r="I398" s="189"/>
      <c r="J398" s="192">
        <f>AU395/AR395</f>
        <v>9.222861357</v>
      </c>
      <c r="K398" s="193"/>
      <c r="L398" s="189">
        <f>SUMIF($F$7:$F$128,"Legal Foreclosure",L7:L128)</f>
        <v>1571317.9</v>
      </c>
      <c r="M398" s="189">
        <f t="shared" ref="M398:Q398" si="176">SUMIF($F$7:$F$392,"Legal Foreclosure",M7:M392)</f>
        <v>307077.7174</v>
      </c>
      <c r="N398" s="189">
        <f t="shared" si="176"/>
        <v>1429192.63</v>
      </c>
      <c r="O398" s="189">
        <f t="shared" si="176"/>
        <v>486335.19</v>
      </c>
      <c r="P398" s="189">
        <f t="shared" si="176"/>
        <v>10240.49</v>
      </c>
      <c r="Q398" s="189">
        <f t="shared" si="176"/>
        <v>329976.1298</v>
      </c>
      <c r="R398" s="194" t="str">
        <f>AW395</f>
        <v>#VALUE!</v>
      </c>
      <c r="S398" s="195" t="str">
        <f t="shared" ref="S398:S399" si="180">1-R398</f>
        <v>#VALUE!</v>
      </c>
      <c r="T398" s="169"/>
      <c r="V398" s="138"/>
      <c r="W398" s="139"/>
      <c r="X398" s="139"/>
      <c r="Y398" s="139"/>
      <c r="Z398" s="139"/>
      <c r="AA398" s="139"/>
      <c r="AB398" s="140"/>
      <c r="AC398" s="139"/>
      <c r="AD398" s="141"/>
      <c r="AE398" s="142"/>
      <c r="AF398" s="143"/>
      <c r="AG398" s="141"/>
      <c r="AH398" s="142"/>
      <c r="AI398" s="144"/>
      <c r="AJ398" s="144"/>
      <c r="AK398" s="144"/>
      <c r="AL398" s="145"/>
      <c r="AP398" s="85"/>
      <c r="AQ398" s="20"/>
      <c r="AR398" s="20"/>
      <c r="AS398" s="20"/>
      <c r="AT398" s="87"/>
      <c r="AU398" s="87"/>
      <c r="AV398" s="87"/>
      <c r="AW398" s="183"/>
      <c r="AY398" s="85"/>
      <c r="AZ398" s="20"/>
      <c r="BA398" s="20"/>
      <c r="BB398" s="20"/>
      <c r="BC398" s="87"/>
      <c r="BD398" s="182"/>
      <c r="BE398" s="87"/>
      <c r="BF398" s="183"/>
      <c r="BH398" s="161"/>
      <c r="BI398" s="5"/>
      <c r="BJ398" s="5"/>
      <c r="BK398" s="184"/>
      <c r="BM398" s="97"/>
    </row>
    <row r="399" ht="12.75" customHeight="1">
      <c r="A399" s="65"/>
      <c r="B399" s="196" t="s">
        <v>64</v>
      </c>
      <c r="C399" s="197"/>
      <c r="D399" s="197"/>
      <c r="E399" s="198">
        <f>SUMIF(F7:F392,"Deed in Lieu",E7:E392)</f>
        <v>4779909.11</v>
      </c>
      <c r="F399" s="199">
        <f>AY395</f>
        <v>148</v>
      </c>
      <c r="G399" s="200">
        <f t="shared" si="177"/>
        <v>0.3969738861</v>
      </c>
      <c r="H399" s="200">
        <f t="shared" si="178"/>
        <v>0.3854166667</v>
      </c>
      <c r="I399" s="198"/>
      <c r="J399" s="201">
        <f>BD395/BA395</f>
        <v>7.173479319</v>
      </c>
      <c r="K399" s="202"/>
      <c r="L399" s="198">
        <f t="shared" ref="L399:Q399" si="179">SUMIF($F$7:$F$392,"Deed in Lieu",L7:L392)</f>
        <v>5469664.65</v>
      </c>
      <c r="M399" s="198">
        <f t="shared" si="179"/>
        <v>119214.8948</v>
      </c>
      <c r="N399" s="198">
        <f t="shared" si="179"/>
        <v>482406.864</v>
      </c>
      <c r="O399" s="198">
        <f t="shared" si="179"/>
        <v>199149.49</v>
      </c>
      <c r="P399" s="198">
        <f t="shared" si="179"/>
        <v>45932.24</v>
      </c>
      <c r="Q399" s="198">
        <f t="shared" si="179"/>
        <v>186326.752</v>
      </c>
      <c r="R399" s="203" t="str">
        <f>BF395</f>
        <v>#VALUE!</v>
      </c>
      <c r="S399" s="204" t="str">
        <f t="shared" si="180"/>
        <v>#VALUE!</v>
      </c>
      <c r="T399" s="169"/>
      <c r="V399" s="205"/>
      <c r="W399" s="206"/>
      <c r="X399" s="206"/>
      <c r="Y399" s="206"/>
      <c r="Z399" s="206"/>
      <c r="AA399" s="207"/>
      <c r="AB399" s="208"/>
      <c r="AC399" s="207" t="s">
        <v>785</v>
      </c>
      <c r="AD399" s="209"/>
      <c r="AE399" s="210"/>
      <c r="AF399" s="211"/>
      <c r="AG399" s="209"/>
      <c r="AH399" s="210"/>
      <c r="AI399" s="212"/>
      <c r="AJ399" s="212"/>
      <c r="AK399" s="212"/>
      <c r="AL399" s="213"/>
      <c r="AP399" s="65"/>
      <c r="AQ399" s="214"/>
      <c r="AR399" s="215"/>
      <c r="AS399" s="185" t="s">
        <v>786</v>
      </c>
      <c r="AT399" s="216"/>
      <c r="AU399" s="216"/>
      <c r="AV399" s="137" t="str">
        <f>AT395/(AT395+BC395)</f>
        <v>#VALUE!</v>
      </c>
      <c r="AW399" s="217"/>
      <c r="AY399" s="65"/>
      <c r="AZ399" s="151"/>
      <c r="BA399" s="185"/>
      <c r="BB399" s="185" t="s">
        <v>787</v>
      </c>
      <c r="BC399" s="216"/>
      <c r="BD399" s="216"/>
      <c r="BE399" s="137" t="str">
        <f>BC395/(BC395+AT395)</f>
        <v>#VALUE!</v>
      </c>
      <c r="BF399" s="217"/>
      <c r="BH399" s="218"/>
      <c r="BI399" s="216"/>
      <c r="BJ399" s="216"/>
      <c r="BK399" s="217"/>
      <c r="BM399" s="219"/>
    </row>
    <row r="400" ht="12.75" customHeight="1">
      <c r="A400" s="169"/>
      <c r="B400" s="220"/>
      <c r="C400" s="221"/>
      <c r="D400" s="221"/>
      <c r="E400" s="221"/>
      <c r="F400" s="221"/>
      <c r="G400" s="221"/>
      <c r="H400" s="221"/>
      <c r="I400" s="221"/>
      <c r="J400" s="153"/>
      <c r="K400" s="153"/>
      <c r="L400" s="221"/>
      <c r="M400" s="203" t="str">
        <f>M396/(AT395+BC395)</f>
        <v>#VALUE!</v>
      </c>
      <c r="N400" s="203" t="str">
        <f>N396/(AT395+BC395)</f>
        <v>#VALUE!</v>
      </c>
      <c r="O400" s="203" t="str">
        <f>O396/(AT395+BC395)</f>
        <v>#VALUE!</v>
      </c>
      <c r="P400" s="203" t="str">
        <f>P396/(AT395+BC395)</f>
        <v>#VALUE!</v>
      </c>
      <c r="Q400" s="203" t="str">
        <f>Q396/(AT395+BC395)</f>
        <v>#VALUE!</v>
      </c>
      <c r="R400" s="221"/>
      <c r="S400" s="221"/>
      <c r="T400" s="222"/>
      <c r="V400" s="223"/>
      <c r="W400" s="224"/>
      <c r="X400" s="224"/>
      <c r="Y400" s="224"/>
      <c r="Z400" s="224"/>
      <c r="AA400" s="224"/>
      <c r="AB400" s="225"/>
      <c r="AC400" s="224"/>
      <c r="AD400" s="226"/>
      <c r="AE400" s="227"/>
      <c r="AF400" s="228"/>
      <c r="AG400" s="226"/>
      <c r="AH400" s="227"/>
      <c r="AI400" s="229"/>
      <c r="AJ400" s="229"/>
      <c r="AK400" s="229"/>
      <c r="AL400" s="230"/>
      <c r="AP400" s="231"/>
      <c r="AQ400" s="232"/>
      <c r="AR400" s="233"/>
      <c r="AS400" s="199" t="s">
        <v>788</v>
      </c>
      <c r="AT400" s="234"/>
      <c r="AU400" s="234"/>
      <c r="AV400" s="203" t="str">
        <f>AS395/AT395</f>
        <v>#VALUE!</v>
      </c>
      <c r="AW400" s="235"/>
      <c r="AY400" s="231"/>
      <c r="AZ400" s="199"/>
      <c r="BA400" s="199"/>
      <c r="BB400" s="199" t="s">
        <v>788</v>
      </c>
      <c r="BC400" s="234"/>
      <c r="BD400" s="236"/>
      <c r="BE400" s="203" t="str">
        <f>BB395/BC395</f>
        <v>#VALUE!</v>
      </c>
      <c r="BF400" s="235"/>
      <c r="BH400" s="237"/>
      <c r="BI400" s="234"/>
      <c r="BJ400" s="234"/>
      <c r="BK400" s="235"/>
      <c r="BM400" s="238"/>
    </row>
    <row r="401" ht="12.75" customHeight="1">
      <c r="A401" s="20"/>
      <c r="B401" s="239"/>
      <c r="S401" s="240"/>
      <c r="T401" s="240"/>
      <c r="AD401" s="24"/>
      <c r="AE401" s="25"/>
      <c r="AF401" s="26"/>
      <c r="AG401" s="24"/>
      <c r="AH401" s="25"/>
      <c r="AI401" s="27"/>
      <c r="AK401" s="28"/>
      <c r="AL401" s="29"/>
    </row>
    <row r="402" ht="12.75" customHeight="1">
      <c r="A402" s="20"/>
      <c r="B402" s="241" t="s">
        <v>789</v>
      </c>
      <c r="S402" s="240"/>
      <c r="AD402" s="24"/>
      <c r="AE402" s="25"/>
      <c r="AF402" s="26"/>
      <c r="AG402" s="24"/>
      <c r="AH402" s="25"/>
      <c r="AI402" s="27"/>
      <c r="AK402" s="28"/>
      <c r="AL402" s="29"/>
      <c r="AP402" s="20"/>
      <c r="AQ402" s="20"/>
      <c r="AR402" s="20"/>
      <c r="AS402" s="20"/>
      <c r="AT402" s="87"/>
      <c r="AU402" s="87"/>
      <c r="AV402" s="87"/>
      <c r="AW402" s="87"/>
      <c r="AY402" s="20"/>
      <c r="AZ402" s="20"/>
      <c r="BA402" s="20"/>
      <c r="BB402" s="20"/>
      <c r="BC402" s="87"/>
      <c r="BD402" s="182"/>
      <c r="BE402" s="87"/>
      <c r="BF402" s="87"/>
      <c r="BM402" s="20"/>
    </row>
    <row r="403" ht="12.75" customHeight="1">
      <c r="A403" s="20"/>
      <c r="B403" s="239" t="s">
        <v>790</v>
      </c>
      <c r="I403" s="242"/>
      <c r="J403" s="242"/>
      <c r="K403" s="242"/>
      <c r="L403" s="242"/>
      <c r="M403" s="242"/>
      <c r="N403" s="242"/>
      <c r="S403" s="240"/>
      <c r="AD403" s="24"/>
      <c r="AE403" s="25"/>
      <c r="AF403" s="26"/>
      <c r="AG403" s="24"/>
      <c r="AH403" s="25"/>
      <c r="AI403" s="27"/>
      <c r="AK403" s="28"/>
      <c r="AL403" s="29"/>
      <c r="AP403" s="20"/>
      <c r="AQ403" s="20"/>
      <c r="AR403" s="20"/>
      <c r="AS403" s="20"/>
      <c r="AT403" s="87"/>
      <c r="AU403" s="87"/>
      <c r="AV403" s="87"/>
      <c r="AW403" s="87"/>
      <c r="AY403" s="20"/>
      <c r="AZ403" s="20"/>
      <c r="BA403" s="20"/>
      <c r="BB403" s="20"/>
      <c r="BC403" s="87"/>
      <c r="BD403" s="182"/>
      <c r="BE403" s="87"/>
      <c r="BF403" s="87"/>
      <c r="BM403" s="20"/>
    </row>
    <row r="404" ht="12.75" customHeight="1">
      <c r="A404" s="20"/>
      <c r="B404" s="239"/>
      <c r="S404" s="240"/>
      <c r="AD404" s="24"/>
      <c r="AE404" s="25"/>
      <c r="AF404" s="26"/>
      <c r="AG404" s="24"/>
      <c r="AH404" s="25"/>
      <c r="AI404" s="27"/>
      <c r="AK404" s="28"/>
      <c r="AL404" s="29"/>
      <c r="AP404" s="20"/>
      <c r="AQ404" s="20"/>
      <c r="AR404" s="20"/>
      <c r="AS404" s="20"/>
      <c r="AT404" s="87"/>
      <c r="AU404" s="87"/>
      <c r="AV404" s="87"/>
      <c r="AW404" s="87"/>
      <c r="AY404" s="20"/>
      <c r="AZ404" s="20"/>
      <c r="BA404" s="20"/>
      <c r="BB404" s="20"/>
      <c r="BC404" s="87"/>
      <c r="BD404" s="182"/>
      <c r="BE404" s="87"/>
      <c r="BF404" s="87"/>
      <c r="BM404" s="20"/>
    </row>
    <row r="405" ht="12.75" customHeight="1">
      <c r="A405" s="20"/>
      <c r="B405" s="239"/>
      <c r="S405" s="240"/>
      <c r="AD405" s="24"/>
      <c r="AE405" s="25"/>
      <c r="AF405" s="26"/>
      <c r="AG405" s="24"/>
      <c r="AH405" s="25"/>
      <c r="AI405" s="27"/>
      <c r="AK405" s="28"/>
      <c r="AL405" s="29"/>
      <c r="AP405" s="20"/>
      <c r="AQ405" s="20"/>
      <c r="AR405" s="20"/>
      <c r="AS405" s="20"/>
      <c r="AT405" s="87"/>
      <c r="AU405" s="87"/>
      <c r="AV405" s="87"/>
      <c r="AW405" s="87"/>
      <c r="AY405" s="20"/>
      <c r="AZ405" s="20"/>
      <c r="BA405" s="20"/>
      <c r="BB405" s="20"/>
      <c r="BC405" s="87"/>
      <c r="BD405" s="182"/>
      <c r="BE405" s="87"/>
      <c r="BF405" s="87"/>
      <c r="BM405" s="20"/>
    </row>
    <row r="406" ht="12.75" customHeight="1">
      <c r="A406" s="20"/>
      <c r="B406" s="239"/>
      <c r="S406" s="240"/>
      <c r="AD406" s="24"/>
      <c r="AE406" s="25"/>
      <c r="AF406" s="26"/>
      <c r="AG406" s="24"/>
      <c r="AH406" s="25"/>
      <c r="AI406" s="27"/>
      <c r="AK406" s="28"/>
      <c r="AL406" s="29"/>
      <c r="AP406" s="20"/>
      <c r="AQ406" s="20"/>
      <c r="AR406" s="20"/>
      <c r="AS406" s="20"/>
      <c r="AT406" s="87"/>
      <c r="AU406" s="87"/>
      <c r="AV406" s="87"/>
      <c r="AW406" s="87"/>
      <c r="AY406" s="20"/>
      <c r="AZ406" s="20"/>
      <c r="BA406" s="20"/>
      <c r="BB406" s="20"/>
      <c r="BC406" s="87"/>
      <c r="BD406" s="182"/>
      <c r="BE406" s="87"/>
      <c r="BF406" s="87"/>
      <c r="BM406" s="20"/>
    </row>
    <row r="407" ht="12.75" customHeight="1">
      <c r="A407" s="20"/>
      <c r="B407" s="241"/>
      <c r="AD407" s="24"/>
      <c r="AE407" s="25"/>
      <c r="AF407" s="26"/>
      <c r="AG407" s="24"/>
      <c r="AH407" s="25"/>
      <c r="AI407" s="27"/>
      <c r="AK407" s="28"/>
      <c r="AL407" s="29"/>
      <c r="AP407" s="20"/>
      <c r="AQ407" s="20"/>
      <c r="AR407" s="20"/>
      <c r="AS407" s="20"/>
      <c r="AT407" s="87"/>
      <c r="AU407" s="87"/>
      <c r="AV407" s="87"/>
      <c r="AW407" s="87"/>
      <c r="AY407" s="20"/>
      <c r="AZ407" s="20"/>
      <c r="BA407" s="20"/>
      <c r="BB407" s="20"/>
      <c r="BC407" s="87"/>
      <c r="BD407" s="182"/>
      <c r="BE407" s="87"/>
      <c r="BF407" s="87"/>
      <c r="BM407" s="20"/>
    </row>
    <row r="408" ht="12.75" customHeight="1">
      <c r="A408" s="20"/>
      <c r="B408" s="239"/>
      <c r="AD408" s="24"/>
      <c r="AE408" s="25"/>
      <c r="AF408" s="26"/>
      <c r="AG408" s="24"/>
      <c r="AH408" s="25"/>
      <c r="AI408" s="27"/>
      <c r="AK408" s="28"/>
      <c r="AL408" s="29"/>
      <c r="AP408" s="20"/>
      <c r="AQ408" s="20"/>
      <c r="AR408" s="20"/>
      <c r="AS408" s="20"/>
      <c r="AT408" s="87"/>
      <c r="AU408" s="87"/>
      <c r="AV408" s="87"/>
      <c r="AW408" s="87"/>
      <c r="AY408" s="20"/>
      <c r="AZ408" s="20"/>
      <c r="BA408" s="20"/>
      <c r="BB408" s="20"/>
      <c r="BC408" s="87"/>
      <c r="BD408" s="182"/>
      <c r="BE408" s="87"/>
      <c r="BF408" s="87"/>
      <c r="BM408" s="20"/>
    </row>
    <row r="409" ht="12.75" customHeight="1">
      <c r="A409" s="20"/>
      <c r="B409" s="239"/>
      <c r="AD409" s="24"/>
      <c r="AE409" s="25"/>
      <c r="AF409" s="26"/>
      <c r="AG409" s="24"/>
      <c r="AH409" s="25"/>
      <c r="AI409" s="27"/>
      <c r="AK409" s="28"/>
      <c r="AL409" s="29"/>
      <c r="AP409" s="20"/>
      <c r="AQ409" s="20"/>
      <c r="AR409" s="20"/>
      <c r="AS409" s="20"/>
      <c r="AT409" s="87"/>
      <c r="AU409" s="87"/>
      <c r="AV409" s="87"/>
      <c r="AW409" s="87"/>
      <c r="AY409" s="20"/>
      <c r="AZ409" s="20"/>
      <c r="BA409" s="20"/>
      <c r="BB409" s="20"/>
      <c r="BC409" s="87"/>
      <c r="BD409" s="182"/>
      <c r="BE409" s="87"/>
      <c r="BF409" s="87"/>
      <c r="BM409" s="20"/>
    </row>
    <row r="410" ht="12.75" customHeight="1">
      <c r="A410" s="20"/>
      <c r="B410" s="239"/>
      <c r="AD410" s="24"/>
      <c r="AE410" s="25"/>
      <c r="AF410" s="26"/>
      <c r="AG410" s="24"/>
      <c r="AH410" s="25"/>
      <c r="AI410" s="27"/>
      <c r="AK410" s="28"/>
      <c r="AL410" s="29"/>
      <c r="AP410" s="20"/>
      <c r="AQ410" s="20"/>
      <c r="AR410" s="20"/>
      <c r="AS410" s="20"/>
      <c r="AT410" s="87"/>
      <c r="AU410" s="87"/>
      <c r="AV410" s="87"/>
      <c r="AW410" s="87"/>
      <c r="AY410" s="20"/>
      <c r="AZ410" s="20"/>
      <c r="BA410" s="20"/>
      <c r="BB410" s="20"/>
      <c r="BC410" s="87"/>
      <c r="BD410" s="182"/>
      <c r="BE410" s="87"/>
      <c r="BF410" s="87"/>
      <c r="BM410" s="20"/>
    </row>
    <row r="411" ht="12.75" customHeight="1">
      <c r="A411" s="20"/>
      <c r="B411" s="239"/>
      <c r="AD411" s="24"/>
      <c r="AE411" s="25"/>
      <c r="AF411" s="26"/>
      <c r="AG411" s="24"/>
      <c r="AH411" s="25"/>
      <c r="AI411" s="27"/>
      <c r="AK411" s="28"/>
      <c r="AL411" s="29"/>
      <c r="AP411" s="20"/>
      <c r="AQ411" s="20"/>
      <c r="AR411" s="20"/>
      <c r="AS411" s="20"/>
      <c r="AT411" s="87"/>
      <c r="AU411" s="87"/>
      <c r="AV411" s="87"/>
      <c r="AW411" s="87"/>
      <c r="AY411" s="20"/>
      <c r="AZ411" s="20"/>
      <c r="BA411" s="20"/>
      <c r="BB411" s="20"/>
      <c r="BC411" s="87"/>
      <c r="BD411" s="182"/>
      <c r="BE411" s="87"/>
      <c r="BF411" s="87"/>
      <c r="BM411" s="20"/>
    </row>
    <row r="412" ht="12.75" customHeight="1">
      <c r="A412" s="20"/>
      <c r="B412" s="239"/>
      <c r="AD412" s="24"/>
      <c r="AE412" s="25"/>
      <c r="AF412" s="26"/>
      <c r="AG412" s="24"/>
      <c r="AH412" s="25"/>
      <c r="AI412" s="27"/>
      <c r="AK412" s="28"/>
      <c r="AL412" s="29"/>
      <c r="AP412" s="20"/>
      <c r="AQ412" s="20"/>
      <c r="AR412" s="20"/>
      <c r="AS412" s="20"/>
      <c r="AT412" s="87"/>
      <c r="AU412" s="87"/>
      <c r="AV412" s="87"/>
      <c r="AW412" s="87"/>
      <c r="AY412" s="20"/>
      <c r="AZ412" s="20"/>
      <c r="BA412" s="20"/>
      <c r="BB412" s="20"/>
      <c r="BC412" s="87"/>
      <c r="BD412" s="182"/>
      <c r="BE412" s="87"/>
      <c r="BF412" s="87"/>
      <c r="BM412" s="20"/>
    </row>
    <row r="413" ht="12.75" customHeight="1">
      <c r="A413" s="20"/>
      <c r="B413" s="239"/>
      <c r="AD413" s="24"/>
      <c r="AE413" s="25"/>
      <c r="AF413" s="26"/>
      <c r="AG413" s="24"/>
      <c r="AH413" s="25"/>
      <c r="AI413" s="27"/>
      <c r="AK413" s="28"/>
      <c r="AL413" s="29"/>
      <c r="AP413" s="20"/>
      <c r="AQ413" s="20"/>
      <c r="AR413" s="20"/>
      <c r="AS413" s="20"/>
      <c r="AT413" s="87"/>
      <c r="AU413" s="87"/>
      <c r="AV413" s="87"/>
      <c r="AW413" s="87"/>
      <c r="AY413" s="20"/>
      <c r="AZ413" s="20"/>
      <c r="BA413" s="20"/>
      <c r="BB413" s="20"/>
      <c r="BC413" s="87"/>
      <c r="BD413" s="182"/>
      <c r="BE413" s="87"/>
      <c r="BF413" s="87"/>
      <c r="BM413" s="20"/>
    </row>
    <row r="414" ht="12.75" customHeight="1">
      <c r="A414" s="20"/>
      <c r="B414" s="239"/>
      <c r="AD414" s="24"/>
      <c r="AE414" s="25"/>
      <c r="AF414" s="26"/>
      <c r="AG414" s="24"/>
      <c r="AH414" s="25"/>
      <c r="AI414" s="27"/>
      <c r="AK414" s="28"/>
      <c r="AL414" s="29"/>
      <c r="AP414" s="20"/>
      <c r="AQ414" s="20"/>
      <c r="AR414" s="20"/>
      <c r="AS414" s="20"/>
      <c r="AT414" s="87"/>
      <c r="AU414" s="87"/>
      <c r="AV414" s="87"/>
      <c r="AW414" s="87"/>
      <c r="AY414" s="20"/>
      <c r="AZ414" s="20"/>
      <c r="BA414" s="20"/>
      <c r="BB414" s="20"/>
      <c r="BC414" s="87"/>
      <c r="BD414" s="182"/>
      <c r="BE414" s="87"/>
      <c r="BF414" s="87"/>
      <c r="BM414" s="20"/>
    </row>
    <row r="415" ht="12.75" customHeight="1">
      <c r="A415" s="20"/>
      <c r="B415" s="243"/>
      <c r="C415" s="244"/>
      <c r="D415" s="244"/>
      <c r="E415" s="244"/>
      <c r="F415" s="244"/>
      <c r="G415" s="244"/>
      <c r="H415" s="244"/>
      <c r="I415" s="244"/>
      <c r="J415" s="244"/>
      <c r="K415" s="244"/>
      <c r="L415" s="244"/>
      <c r="M415" s="244"/>
      <c r="N415" s="244"/>
      <c r="AD415" s="24"/>
      <c r="AE415" s="25"/>
      <c r="AF415" s="26"/>
      <c r="AG415" s="24"/>
      <c r="AH415" s="25"/>
      <c r="AI415" s="27"/>
      <c r="AK415" s="28"/>
      <c r="AL415" s="29"/>
      <c r="AP415" s="20"/>
      <c r="AQ415" s="20"/>
      <c r="AR415" s="20"/>
      <c r="AS415" s="20"/>
      <c r="AT415" s="87"/>
      <c r="AU415" s="87"/>
      <c r="AV415" s="87"/>
      <c r="AW415" s="87"/>
      <c r="AY415" s="20"/>
      <c r="AZ415" s="20"/>
      <c r="BA415" s="20"/>
      <c r="BB415" s="20"/>
      <c r="BC415" s="87"/>
      <c r="BD415" s="182"/>
      <c r="BE415" s="87"/>
      <c r="BF415" s="87"/>
      <c r="BM415" s="20"/>
    </row>
    <row r="416" ht="12.75" customHeight="1">
      <c r="A416" s="20"/>
      <c r="B416" s="243"/>
      <c r="C416" s="244"/>
      <c r="D416" s="244"/>
      <c r="E416" s="244"/>
      <c r="F416" s="244"/>
      <c r="G416" s="244"/>
      <c r="H416" s="244"/>
      <c r="I416" s="244"/>
      <c r="J416" s="244"/>
      <c r="K416" s="244"/>
      <c r="L416" s="244"/>
      <c r="M416" s="244"/>
      <c r="N416" s="244"/>
      <c r="AD416" s="24"/>
      <c r="AE416" s="25"/>
      <c r="AF416" s="26"/>
      <c r="AG416" s="24"/>
      <c r="AH416" s="25"/>
      <c r="AI416" s="27"/>
      <c r="AK416" s="28"/>
      <c r="AL416" s="29"/>
      <c r="AP416" s="20"/>
      <c r="AQ416" s="20"/>
      <c r="AR416" s="20"/>
      <c r="AS416" s="20"/>
      <c r="AT416" s="87"/>
      <c r="AU416" s="87"/>
      <c r="AV416" s="87"/>
      <c r="AW416" s="87"/>
      <c r="AY416" s="20"/>
      <c r="AZ416" s="20"/>
      <c r="BA416" s="20"/>
      <c r="BB416" s="20"/>
      <c r="BC416" s="87"/>
      <c r="BD416" s="182"/>
      <c r="BE416" s="87"/>
      <c r="BF416" s="87"/>
      <c r="BM416" s="20"/>
    </row>
    <row r="417" ht="12.75" customHeight="1">
      <c r="A417" s="20"/>
      <c r="B417" s="243"/>
      <c r="C417" s="244"/>
      <c r="D417" s="244"/>
      <c r="E417" s="244"/>
      <c r="F417" s="244"/>
      <c r="G417" s="244"/>
      <c r="H417" s="244"/>
      <c r="I417" s="244"/>
      <c r="J417" s="244"/>
      <c r="K417" s="244"/>
      <c r="L417" s="244"/>
      <c r="M417" s="244"/>
      <c r="N417" s="244"/>
      <c r="AD417" s="24"/>
      <c r="AE417" s="25"/>
      <c r="AF417" s="26"/>
      <c r="AG417" s="24"/>
      <c r="AH417" s="25"/>
      <c r="AI417" s="27"/>
      <c r="AK417" s="28"/>
      <c r="AL417" s="29"/>
      <c r="AP417" s="20"/>
      <c r="AQ417" s="20"/>
      <c r="AR417" s="20"/>
      <c r="AS417" s="20"/>
      <c r="AT417" s="87"/>
      <c r="AU417" s="87"/>
      <c r="AV417" s="87"/>
      <c r="AW417" s="87"/>
      <c r="AY417" s="20"/>
      <c r="AZ417" s="20"/>
      <c r="BA417" s="20"/>
      <c r="BB417" s="20"/>
      <c r="BC417" s="87"/>
      <c r="BD417" s="182"/>
      <c r="BE417" s="87"/>
      <c r="BF417" s="87"/>
      <c r="BM417" s="20"/>
    </row>
    <row r="418" ht="12.75" customHeight="1">
      <c r="A418" s="20"/>
      <c r="B418" s="243"/>
      <c r="C418" s="244"/>
      <c r="D418" s="244"/>
      <c r="E418" s="244"/>
      <c r="F418" s="244"/>
      <c r="G418" s="244"/>
      <c r="H418" s="244"/>
      <c r="I418" s="244"/>
      <c r="J418" s="244"/>
      <c r="K418" s="244"/>
      <c r="L418" s="244"/>
      <c r="M418" s="244"/>
      <c r="N418" s="244"/>
      <c r="AD418" s="24"/>
      <c r="AE418" s="25"/>
      <c r="AF418" s="26"/>
      <c r="AG418" s="24"/>
      <c r="AH418" s="25"/>
      <c r="AI418" s="27"/>
      <c r="AK418" s="28"/>
      <c r="AL418" s="29"/>
      <c r="AP418" s="20"/>
      <c r="AQ418" s="20"/>
      <c r="AR418" s="20"/>
      <c r="AS418" s="20"/>
      <c r="AT418" s="87"/>
      <c r="AU418" s="87"/>
      <c r="AV418" s="87"/>
      <c r="AW418" s="87"/>
      <c r="AY418" s="20"/>
      <c r="AZ418" s="20"/>
      <c r="BA418" s="20"/>
      <c r="BB418" s="20"/>
      <c r="BC418" s="87"/>
      <c r="BD418" s="182"/>
      <c r="BE418" s="87"/>
      <c r="BF418" s="87"/>
      <c r="BM418" s="20"/>
    </row>
    <row r="419" ht="12.75" customHeight="1">
      <c r="A419" s="20"/>
      <c r="B419" s="243"/>
      <c r="C419" s="244"/>
      <c r="D419" s="244"/>
      <c r="E419" s="244"/>
      <c r="F419" s="244"/>
      <c r="G419" s="244"/>
      <c r="H419" s="244"/>
      <c r="I419" s="244"/>
      <c r="J419" s="244"/>
      <c r="K419" s="244"/>
      <c r="L419" s="244"/>
      <c r="M419" s="244"/>
      <c r="N419" s="244"/>
      <c r="AD419" s="24"/>
      <c r="AE419" s="25"/>
      <c r="AF419" s="26"/>
      <c r="AG419" s="24"/>
      <c r="AH419" s="25"/>
      <c r="AI419" s="27"/>
      <c r="AK419" s="28"/>
      <c r="AL419" s="29"/>
      <c r="AP419" s="20"/>
      <c r="AQ419" s="20"/>
      <c r="AR419" s="20"/>
      <c r="AS419" s="20"/>
      <c r="AT419" s="87"/>
      <c r="AU419" s="87"/>
      <c r="AV419" s="87"/>
      <c r="AW419" s="87"/>
      <c r="AY419" s="20"/>
      <c r="AZ419" s="20"/>
      <c r="BA419" s="20"/>
      <c r="BB419" s="20"/>
      <c r="BC419" s="87"/>
      <c r="BD419" s="182"/>
      <c r="BE419" s="87"/>
      <c r="BF419" s="87"/>
      <c r="BM419" s="20"/>
    </row>
    <row r="420" ht="12.75" customHeight="1">
      <c r="A420" s="20"/>
      <c r="B420" s="243"/>
      <c r="C420" s="244"/>
      <c r="D420" s="244"/>
      <c r="E420" s="244"/>
      <c r="F420" s="244"/>
      <c r="G420" s="244"/>
      <c r="H420" s="244"/>
      <c r="I420" s="244"/>
      <c r="J420" s="244"/>
      <c r="K420" s="244"/>
      <c r="L420" s="244"/>
      <c r="M420" s="244"/>
      <c r="N420" s="244"/>
      <c r="AD420" s="24"/>
      <c r="AE420" s="25"/>
      <c r="AF420" s="26"/>
      <c r="AG420" s="24"/>
      <c r="AH420" s="25"/>
      <c r="AI420" s="27"/>
      <c r="AK420" s="28"/>
      <c r="AL420" s="29"/>
      <c r="AP420" s="20"/>
      <c r="AQ420" s="20"/>
      <c r="AR420" s="20"/>
      <c r="AS420" s="20"/>
      <c r="AT420" s="87"/>
      <c r="AU420" s="87"/>
      <c r="AV420" s="87"/>
      <c r="AW420" s="87"/>
      <c r="AY420" s="20"/>
      <c r="AZ420" s="20"/>
      <c r="BA420" s="20"/>
      <c r="BB420" s="20"/>
      <c r="BC420" s="87"/>
      <c r="BD420" s="182"/>
      <c r="BE420" s="87"/>
      <c r="BF420" s="87"/>
      <c r="BM420" s="20"/>
    </row>
    <row r="421" ht="12.75" customHeight="1">
      <c r="A421" s="20"/>
      <c r="B421" s="243"/>
      <c r="C421" s="244"/>
      <c r="D421" s="244"/>
      <c r="E421" s="244"/>
      <c r="F421" s="244"/>
      <c r="G421" s="244"/>
      <c r="H421" s="244"/>
      <c r="I421" s="244"/>
      <c r="J421" s="244"/>
      <c r="K421" s="244"/>
      <c r="L421" s="244"/>
      <c r="M421" s="244"/>
      <c r="N421" s="244"/>
      <c r="AD421" s="24"/>
      <c r="AE421" s="25"/>
      <c r="AF421" s="26"/>
      <c r="AG421" s="24"/>
      <c r="AH421" s="25"/>
      <c r="AI421" s="27"/>
      <c r="AK421" s="28"/>
      <c r="AL421" s="29"/>
      <c r="AP421" s="20"/>
      <c r="AQ421" s="20"/>
      <c r="AR421" s="20"/>
      <c r="AS421" s="20"/>
      <c r="AT421" s="87"/>
      <c r="AU421" s="87"/>
      <c r="AV421" s="87"/>
      <c r="AW421" s="87"/>
      <c r="AY421" s="20"/>
      <c r="AZ421" s="20"/>
      <c r="BA421" s="20"/>
      <c r="BB421" s="20"/>
      <c r="BC421" s="87"/>
      <c r="BD421" s="182"/>
      <c r="BE421" s="87"/>
      <c r="BF421" s="87"/>
      <c r="BM421" s="20"/>
    </row>
    <row r="422" ht="12.75" customHeight="1">
      <c r="A422" s="20"/>
      <c r="B422" s="243"/>
      <c r="C422" s="244"/>
      <c r="D422" s="244"/>
      <c r="E422" s="244"/>
      <c r="F422" s="244"/>
      <c r="G422" s="244"/>
      <c r="H422" s="244"/>
      <c r="I422" s="244"/>
      <c r="J422" s="244"/>
      <c r="K422" s="244"/>
      <c r="L422" s="244"/>
      <c r="M422" s="244"/>
      <c r="N422" s="244"/>
      <c r="AD422" s="24"/>
      <c r="AE422" s="25"/>
      <c r="AF422" s="26"/>
      <c r="AG422" s="24"/>
      <c r="AH422" s="25"/>
      <c r="AI422" s="27"/>
      <c r="AK422" s="28"/>
      <c r="AL422" s="29"/>
      <c r="AP422" s="20"/>
      <c r="AQ422" s="20"/>
      <c r="AR422" s="20"/>
      <c r="AS422" s="20"/>
      <c r="AT422" s="87"/>
      <c r="AU422" s="87"/>
      <c r="AV422" s="87"/>
      <c r="AW422" s="87"/>
      <c r="AY422" s="20"/>
      <c r="AZ422" s="20"/>
      <c r="BA422" s="20"/>
      <c r="BB422" s="20"/>
      <c r="BC422" s="87"/>
      <c r="BD422" s="182"/>
      <c r="BE422" s="87"/>
      <c r="BF422" s="87"/>
      <c r="BM422" s="20"/>
    </row>
    <row r="423" ht="12.75" customHeight="1">
      <c r="A423" s="20"/>
      <c r="B423" s="243"/>
      <c r="C423" s="244"/>
      <c r="D423" s="244"/>
      <c r="E423" s="244"/>
      <c r="F423" s="244"/>
      <c r="G423" s="244"/>
      <c r="H423" s="244"/>
      <c r="I423" s="244"/>
      <c r="J423" s="244"/>
      <c r="K423" s="244"/>
      <c r="L423" s="244"/>
      <c r="M423" s="244"/>
      <c r="N423" s="244"/>
      <c r="AD423" s="24"/>
      <c r="AE423" s="25"/>
      <c r="AF423" s="26"/>
      <c r="AG423" s="24"/>
      <c r="AH423" s="25"/>
      <c r="AI423" s="27"/>
      <c r="AK423" s="28"/>
      <c r="AL423" s="29"/>
      <c r="AP423" s="20"/>
      <c r="AQ423" s="20"/>
      <c r="AR423" s="20"/>
      <c r="AS423" s="20"/>
      <c r="AT423" s="87"/>
      <c r="AU423" s="87"/>
      <c r="AV423" s="87"/>
      <c r="AW423" s="87"/>
      <c r="AY423" s="20"/>
      <c r="AZ423" s="20"/>
      <c r="BA423" s="20"/>
      <c r="BB423" s="20"/>
      <c r="BC423" s="87"/>
      <c r="BD423" s="182"/>
      <c r="BE423" s="87"/>
      <c r="BF423" s="87"/>
      <c r="BM423" s="20"/>
    </row>
    <row r="424" ht="12.75" customHeight="1">
      <c r="A424" s="20"/>
      <c r="B424" s="243"/>
      <c r="C424" s="244"/>
      <c r="D424" s="244"/>
      <c r="E424" s="244"/>
      <c r="F424" s="244"/>
      <c r="G424" s="244"/>
      <c r="H424" s="244"/>
      <c r="I424" s="244"/>
      <c r="J424" s="244"/>
      <c r="K424" s="244"/>
      <c r="L424" s="244"/>
      <c r="M424" s="244"/>
      <c r="N424" s="244"/>
      <c r="AD424" s="24"/>
      <c r="AE424" s="25"/>
      <c r="AF424" s="26"/>
      <c r="AG424" s="24"/>
      <c r="AH424" s="25"/>
      <c r="AI424" s="27"/>
      <c r="AK424" s="28"/>
      <c r="AL424" s="29"/>
      <c r="AP424" s="20"/>
      <c r="AQ424" s="20"/>
      <c r="AR424" s="20"/>
      <c r="AS424" s="20"/>
      <c r="AT424" s="87"/>
      <c r="AU424" s="87"/>
      <c r="AV424" s="87"/>
      <c r="AW424" s="87"/>
      <c r="AY424" s="20"/>
      <c r="AZ424" s="20"/>
      <c r="BA424" s="20"/>
      <c r="BB424" s="20"/>
      <c r="BC424" s="87"/>
      <c r="BD424" s="182"/>
      <c r="BE424" s="87"/>
      <c r="BF424" s="87"/>
      <c r="BM424" s="20"/>
    </row>
    <row r="425" ht="12.75" customHeight="1">
      <c r="A425" s="20"/>
      <c r="B425" s="239"/>
      <c r="AD425" s="24"/>
      <c r="AE425" s="25"/>
      <c r="AF425" s="26"/>
      <c r="AG425" s="24"/>
      <c r="AH425" s="25"/>
      <c r="AI425" s="27"/>
      <c r="AK425" s="28"/>
      <c r="AL425" s="29"/>
      <c r="AP425" s="20"/>
      <c r="AQ425" s="20"/>
      <c r="AR425" s="20"/>
      <c r="AS425" s="20"/>
      <c r="AT425" s="87"/>
      <c r="AU425" s="87"/>
      <c r="AV425" s="87"/>
      <c r="AW425" s="87"/>
      <c r="AY425" s="20"/>
      <c r="AZ425" s="20"/>
      <c r="BA425" s="20"/>
      <c r="BB425" s="20"/>
      <c r="BC425" s="87"/>
      <c r="BD425" s="182"/>
      <c r="BE425" s="87"/>
      <c r="BF425" s="87"/>
      <c r="BM425" s="20"/>
    </row>
    <row r="426" ht="12.75" customHeight="1">
      <c r="A426" s="20"/>
      <c r="B426" s="239"/>
      <c r="AD426" s="24"/>
      <c r="AE426" s="25"/>
      <c r="AF426" s="26"/>
      <c r="AG426" s="24"/>
      <c r="AH426" s="25"/>
      <c r="AI426" s="27"/>
      <c r="AK426" s="28"/>
      <c r="AL426" s="29"/>
      <c r="AP426" s="20"/>
      <c r="AQ426" s="20"/>
      <c r="AR426" s="20"/>
      <c r="AS426" s="20"/>
      <c r="AT426" s="87"/>
      <c r="AU426" s="87"/>
      <c r="AV426" s="87"/>
      <c r="AW426" s="87"/>
      <c r="AY426" s="20"/>
      <c r="AZ426" s="20"/>
      <c r="BA426" s="20"/>
      <c r="BB426" s="20"/>
      <c r="BC426" s="87"/>
      <c r="BD426" s="182"/>
      <c r="BE426" s="87"/>
      <c r="BF426" s="87"/>
      <c r="BM426" s="20"/>
    </row>
    <row r="427" ht="12.75" customHeight="1">
      <c r="A427" s="20"/>
      <c r="B427" s="239"/>
      <c r="AD427" s="24"/>
      <c r="AE427" s="25"/>
      <c r="AF427" s="26"/>
      <c r="AG427" s="24"/>
      <c r="AH427" s="25"/>
      <c r="AI427" s="27"/>
      <c r="AK427" s="28"/>
      <c r="AL427" s="29"/>
      <c r="AP427" s="20"/>
      <c r="AQ427" s="20"/>
      <c r="AR427" s="20"/>
      <c r="AS427" s="20"/>
      <c r="AT427" s="87"/>
      <c r="AU427" s="87"/>
      <c r="AV427" s="87"/>
      <c r="AW427" s="87"/>
      <c r="AY427" s="20"/>
      <c r="AZ427" s="20"/>
      <c r="BA427" s="20"/>
      <c r="BB427" s="20"/>
      <c r="BC427" s="87"/>
      <c r="BD427" s="182"/>
      <c r="BE427" s="87"/>
      <c r="BF427" s="87"/>
      <c r="BM427" s="20"/>
    </row>
    <row r="428" ht="12.75" customHeight="1">
      <c r="A428" s="20"/>
      <c r="B428" s="239"/>
      <c r="AD428" s="24"/>
      <c r="AE428" s="25"/>
      <c r="AF428" s="26"/>
      <c r="AG428" s="24"/>
      <c r="AH428" s="25"/>
      <c r="AI428" s="27"/>
      <c r="AK428" s="28"/>
      <c r="AL428" s="29"/>
      <c r="AP428" s="20"/>
      <c r="AQ428" s="20"/>
      <c r="AR428" s="20"/>
      <c r="AS428" s="20"/>
      <c r="AT428" s="87"/>
      <c r="AU428" s="87"/>
      <c r="AV428" s="87"/>
      <c r="AW428" s="87"/>
      <c r="AY428" s="20"/>
      <c r="AZ428" s="20"/>
      <c r="BA428" s="20"/>
      <c r="BB428" s="20"/>
      <c r="BC428" s="87"/>
      <c r="BD428" s="182"/>
      <c r="BE428" s="87"/>
      <c r="BF428" s="87"/>
      <c r="BM428" s="20"/>
    </row>
    <row r="429" ht="12.75" customHeight="1">
      <c r="A429" s="20"/>
      <c r="B429" s="239"/>
      <c r="AD429" s="24"/>
      <c r="AE429" s="25"/>
      <c r="AF429" s="26"/>
      <c r="AG429" s="24"/>
      <c r="AH429" s="25"/>
      <c r="AI429" s="27"/>
      <c r="AK429" s="28"/>
      <c r="AL429" s="29"/>
      <c r="AP429" s="20"/>
      <c r="AQ429" s="20"/>
      <c r="AR429" s="20"/>
      <c r="AS429" s="20"/>
      <c r="AT429" s="87"/>
      <c r="AU429" s="87"/>
      <c r="AV429" s="87"/>
      <c r="AW429" s="87"/>
      <c r="AY429" s="20"/>
      <c r="AZ429" s="20"/>
      <c r="BA429" s="20"/>
      <c r="BB429" s="20"/>
      <c r="BC429" s="87"/>
      <c r="BD429" s="182"/>
      <c r="BE429" s="87"/>
      <c r="BF429" s="87"/>
      <c r="BM429" s="20"/>
    </row>
    <row r="430" ht="12.75" customHeight="1">
      <c r="A430" s="20"/>
      <c r="B430" s="239"/>
      <c r="AD430" s="24"/>
      <c r="AE430" s="25"/>
      <c r="AF430" s="26"/>
      <c r="AG430" s="24"/>
      <c r="AH430" s="25"/>
      <c r="AI430" s="27"/>
      <c r="AK430" s="28"/>
      <c r="AL430" s="29"/>
      <c r="AP430" s="20"/>
      <c r="AQ430" s="20"/>
      <c r="AR430" s="20"/>
      <c r="AS430" s="20"/>
      <c r="AT430" s="87"/>
      <c r="AU430" s="87"/>
      <c r="AV430" s="87"/>
      <c r="AW430" s="87"/>
      <c r="AY430" s="20"/>
      <c r="AZ430" s="20"/>
      <c r="BA430" s="20"/>
      <c r="BB430" s="20"/>
      <c r="BC430" s="87"/>
      <c r="BD430" s="182"/>
      <c r="BE430" s="87"/>
      <c r="BF430" s="87"/>
      <c r="BM430" s="20"/>
    </row>
    <row r="431" ht="12.75" customHeight="1">
      <c r="A431" s="20"/>
      <c r="B431" s="239"/>
      <c r="AD431" s="24"/>
      <c r="AE431" s="25"/>
      <c r="AF431" s="26"/>
      <c r="AG431" s="24"/>
      <c r="AH431" s="25"/>
      <c r="AI431" s="27"/>
      <c r="AK431" s="28"/>
      <c r="AL431" s="29"/>
      <c r="AP431" s="20"/>
      <c r="AQ431" s="20"/>
      <c r="AR431" s="20"/>
      <c r="AS431" s="20"/>
      <c r="AT431" s="87"/>
      <c r="AU431" s="87"/>
      <c r="AV431" s="87"/>
      <c r="AW431" s="87"/>
      <c r="AY431" s="20"/>
      <c r="AZ431" s="20"/>
      <c r="BA431" s="20"/>
      <c r="BB431" s="20"/>
      <c r="BC431" s="87"/>
      <c r="BD431" s="182"/>
      <c r="BE431" s="87"/>
      <c r="BF431" s="87"/>
      <c r="BM431" s="20"/>
    </row>
    <row r="432" ht="12.75" customHeight="1">
      <c r="A432" s="20"/>
      <c r="B432" s="239"/>
      <c r="AD432" s="24"/>
      <c r="AE432" s="25"/>
      <c r="AF432" s="26"/>
      <c r="AG432" s="24"/>
      <c r="AH432" s="25"/>
      <c r="AI432" s="27"/>
      <c r="AK432" s="28"/>
      <c r="AL432" s="29"/>
      <c r="AP432" s="20"/>
      <c r="AQ432" s="20"/>
      <c r="AR432" s="20"/>
      <c r="AS432" s="20"/>
      <c r="AT432" s="87"/>
      <c r="AU432" s="87"/>
      <c r="AV432" s="87"/>
      <c r="AW432" s="87"/>
      <c r="AY432" s="20"/>
      <c r="AZ432" s="20"/>
      <c r="BA432" s="20"/>
      <c r="BB432" s="20"/>
      <c r="BC432" s="87"/>
      <c r="BD432" s="182"/>
      <c r="BE432" s="87"/>
      <c r="BF432" s="87"/>
      <c r="BM432" s="20"/>
    </row>
    <row r="433" ht="12.75" customHeight="1">
      <c r="A433" s="20"/>
      <c r="B433" s="239"/>
      <c r="AD433" s="24"/>
      <c r="AE433" s="25"/>
      <c r="AF433" s="26"/>
      <c r="AG433" s="24"/>
      <c r="AH433" s="25"/>
      <c r="AI433" s="27"/>
      <c r="AK433" s="28"/>
      <c r="AL433" s="29"/>
      <c r="AP433" s="20"/>
      <c r="AQ433" s="20"/>
      <c r="AR433" s="20"/>
      <c r="AS433" s="20"/>
      <c r="AT433" s="87"/>
      <c r="AU433" s="87"/>
      <c r="AV433" s="87"/>
      <c r="AW433" s="87"/>
      <c r="AY433" s="20"/>
      <c r="AZ433" s="20"/>
      <c r="BA433" s="20"/>
      <c r="BB433" s="20"/>
      <c r="BC433" s="87"/>
      <c r="BD433" s="182"/>
      <c r="BE433" s="87"/>
      <c r="BF433" s="87"/>
      <c r="BM433" s="20"/>
    </row>
    <row r="434" ht="12.75" customHeight="1">
      <c r="A434" s="20"/>
      <c r="B434" s="239"/>
      <c r="AD434" s="24"/>
      <c r="AE434" s="25"/>
      <c r="AF434" s="26"/>
      <c r="AG434" s="24"/>
      <c r="AH434" s="25"/>
      <c r="AI434" s="27"/>
      <c r="AK434" s="28"/>
      <c r="AL434" s="29"/>
      <c r="AP434" s="20"/>
      <c r="AQ434" s="20"/>
      <c r="AR434" s="20"/>
      <c r="AS434" s="20"/>
      <c r="AT434" s="87"/>
      <c r="AU434" s="87"/>
      <c r="AV434" s="87"/>
      <c r="AW434" s="87"/>
      <c r="AY434" s="20"/>
      <c r="AZ434" s="20"/>
      <c r="BA434" s="20"/>
      <c r="BB434" s="20"/>
      <c r="BC434" s="87"/>
      <c r="BD434" s="182"/>
      <c r="BE434" s="87"/>
      <c r="BF434" s="87"/>
      <c r="BM434" s="20"/>
    </row>
    <row r="435" ht="12.75" customHeight="1">
      <c r="A435" s="20"/>
      <c r="B435" s="239"/>
      <c r="AD435" s="24"/>
      <c r="AE435" s="25"/>
      <c r="AF435" s="26"/>
      <c r="AG435" s="24"/>
      <c r="AH435" s="25"/>
      <c r="AI435" s="27"/>
      <c r="AK435" s="28"/>
      <c r="AL435" s="29"/>
      <c r="AP435" s="20"/>
      <c r="AQ435" s="20"/>
      <c r="AR435" s="20"/>
      <c r="AS435" s="20"/>
      <c r="AT435" s="87"/>
      <c r="AU435" s="87"/>
      <c r="AV435" s="87"/>
      <c r="AW435" s="87"/>
      <c r="AY435" s="20"/>
      <c r="AZ435" s="20"/>
      <c r="BA435" s="20"/>
      <c r="BB435" s="20"/>
      <c r="BC435" s="87"/>
      <c r="BD435" s="182"/>
      <c r="BE435" s="87"/>
      <c r="BF435" s="87"/>
      <c r="BM435" s="20"/>
    </row>
    <row r="436" ht="12.75" customHeight="1">
      <c r="A436" s="20"/>
      <c r="B436" s="239"/>
      <c r="AD436" s="24"/>
      <c r="AE436" s="25"/>
      <c r="AF436" s="26"/>
      <c r="AG436" s="24"/>
      <c r="AH436" s="25"/>
      <c r="AI436" s="27"/>
      <c r="AK436" s="28"/>
      <c r="AL436" s="29"/>
      <c r="AP436" s="20"/>
      <c r="AQ436" s="20"/>
      <c r="AR436" s="20"/>
      <c r="AS436" s="20"/>
      <c r="AT436" s="87"/>
      <c r="AU436" s="87"/>
      <c r="AV436" s="87"/>
      <c r="AW436" s="87"/>
      <c r="AY436" s="20"/>
      <c r="AZ436" s="20"/>
      <c r="BA436" s="20"/>
      <c r="BB436" s="20"/>
      <c r="BC436" s="87"/>
      <c r="BD436" s="182"/>
      <c r="BE436" s="87"/>
      <c r="BF436" s="87"/>
      <c r="BM436" s="20"/>
    </row>
    <row r="437" ht="12.75" customHeight="1">
      <c r="A437" s="20"/>
      <c r="B437" s="239"/>
      <c r="AD437" s="24"/>
      <c r="AE437" s="25"/>
      <c r="AF437" s="26"/>
      <c r="AG437" s="24"/>
      <c r="AH437" s="25"/>
      <c r="AI437" s="27"/>
      <c r="AK437" s="28"/>
      <c r="AL437" s="29"/>
      <c r="AP437" s="20"/>
      <c r="AQ437" s="20"/>
      <c r="AR437" s="20"/>
      <c r="AS437" s="20"/>
      <c r="AT437" s="87"/>
      <c r="AU437" s="87"/>
      <c r="AV437" s="87"/>
      <c r="AW437" s="87"/>
      <c r="AY437" s="20"/>
      <c r="AZ437" s="20"/>
      <c r="BA437" s="20"/>
      <c r="BB437" s="20"/>
      <c r="BC437" s="87"/>
      <c r="BD437" s="182"/>
      <c r="BE437" s="87"/>
      <c r="BF437" s="87"/>
      <c r="BM437" s="20"/>
    </row>
    <row r="438" ht="12.75" customHeight="1">
      <c r="A438" s="20"/>
      <c r="B438" s="239"/>
      <c r="AD438" s="24"/>
      <c r="AE438" s="25"/>
      <c r="AF438" s="26"/>
      <c r="AG438" s="24"/>
      <c r="AH438" s="25"/>
      <c r="AI438" s="27"/>
      <c r="AK438" s="28"/>
      <c r="AL438" s="29"/>
      <c r="AP438" s="20"/>
      <c r="AQ438" s="20"/>
      <c r="AR438" s="20"/>
      <c r="AS438" s="20"/>
      <c r="AT438" s="87"/>
      <c r="AU438" s="87"/>
      <c r="AV438" s="87"/>
      <c r="AW438" s="87"/>
      <c r="AY438" s="20"/>
      <c r="AZ438" s="20"/>
      <c r="BA438" s="20"/>
      <c r="BB438" s="20"/>
      <c r="BC438" s="87"/>
      <c r="BD438" s="182"/>
      <c r="BE438" s="87"/>
      <c r="BF438" s="87"/>
      <c r="BM438" s="20"/>
    </row>
    <row r="439" ht="12.75" customHeight="1">
      <c r="A439" s="20"/>
      <c r="B439" s="239"/>
      <c r="AD439" s="24"/>
      <c r="AE439" s="25"/>
      <c r="AF439" s="26"/>
      <c r="AG439" s="24"/>
      <c r="AH439" s="25"/>
      <c r="AI439" s="27"/>
      <c r="AK439" s="28"/>
      <c r="AL439" s="29"/>
      <c r="AP439" s="20"/>
      <c r="AQ439" s="20"/>
      <c r="AR439" s="20"/>
      <c r="AS439" s="20"/>
      <c r="AT439" s="87"/>
      <c r="AU439" s="87"/>
      <c r="AV439" s="87"/>
      <c r="AW439" s="87"/>
      <c r="AY439" s="20"/>
      <c r="AZ439" s="20"/>
      <c r="BA439" s="20"/>
      <c r="BB439" s="20"/>
      <c r="BC439" s="87"/>
      <c r="BD439" s="182"/>
      <c r="BE439" s="87"/>
      <c r="BF439" s="87"/>
      <c r="BM439" s="20"/>
    </row>
    <row r="440" ht="12.75" customHeight="1">
      <c r="A440" s="20"/>
      <c r="B440" s="239"/>
      <c r="AD440" s="24"/>
      <c r="AE440" s="25"/>
      <c r="AF440" s="26"/>
      <c r="AG440" s="24"/>
      <c r="AH440" s="25"/>
      <c r="AI440" s="27"/>
      <c r="AK440" s="28"/>
      <c r="AL440" s="29"/>
      <c r="AP440" s="20"/>
      <c r="AQ440" s="20"/>
      <c r="AR440" s="20"/>
      <c r="AS440" s="20"/>
      <c r="AT440" s="87"/>
      <c r="AU440" s="87"/>
      <c r="AV440" s="87"/>
      <c r="AW440" s="87"/>
      <c r="AY440" s="20"/>
      <c r="AZ440" s="20"/>
      <c r="BA440" s="20"/>
      <c r="BB440" s="20"/>
      <c r="BC440" s="87"/>
      <c r="BD440" s="182"/>
      <c r="BE440" s="87"/>
      <c r="BF440" s="87"/>
      <c r="BM440" s="20"/>
    </row>
    <row r="441" ht="12.75" customHeight="1">
      <c r="A441" s="20"/>
      <c r="B441" s="239"/>
      <c r="AD441" s="24"/>
      <c r="AE441" s="25"/>
      <c r="AF441" s="26"/>
      <c r="AG441" s="24"/>
      <c r="AH441" s="25"/>
      <c r="AI441" s="27"/>
      <c r="AK441" s="28"/>
      <c r="AL441" s="29"/>
      <c r="AP441" s="20"/>
      <c r="AQ441" s="20"/>
      <c r="AR441" s="20"/>
      <c r="AS441" s="20"/>
      <c r="AT441" s="87"/>
      <c r="AU441" s="87"/>
      <c r="AV441" s="87"/>
      <c r="AW441" s="87"/>
      <c r="AY441" s="20"/>
      <c r="AZ441" s="20"/>
      <c r="BA441" s="20"/>
      <c r="BB441" s="20"/>
      <c r="BC441" s="87"/>
      <c r="BD441" s="182"/>
      <c r="BE441" s="87"/>
      <c r="BF441" s="87"/>
      <c r="BM441" s="20"/>
    </row>
    <row r="442" ht="12.75" customHeight="1">
      <c r="A442" s="20"/>
      <c r="B442" s="239"/>
      <c r="AD442" s="24"/>
      <c r="AE442" s="25"/>
      <c r="AF442" s="26"/>
      <c r="AG442" s="24"/>
      <c r="AH442" s="25"/>
      <c r="AI442" s="27"/>
      <c r="AK442" s="28"/>
      <c r="AL442" s="29"/>
      <c r="AP442" s="20"/>
      <c r="AQ442" s="20"/>
      <c r="AR442" s="20"/>
      <c r="AS442" s="20"/>
      <c r="AT442" s="87"/>
      <c r="AU442" s="87"/>
      <c r="AV442" s="87"/>
      <c r="AW442" s="87"/>
      <c r="AY442" s="20"/>
      <c r="AZ442" s="20"/>
      <c r="BA442" s="20"/>
      <c r="BB442" s="20"/>
      <c r="BC442" s="87"/>
      <c r="BD442" s="182"/>
      <c r="BE442" s="87"/>
      <c r="BF442" s="87"/>
      <c r="BM442" s="20"/>
    </row>
    <row r="443" ht="12.75" customHeight="1">
      <c r="A443" s="20"/>
      <c r="B443" s="239"/>
      <c r="AD443" s="24"/>
      <c r="AE443" s="25"/>
      <c r="AF443" s="26"/>
      <c r="AG443" s="24"/>
      <c r="AH443" s="25"/>
      <c r="AI443" s="27"/>
      <c r="AK443" s="28"/>
      <c r="AL443" s="29"/>
      <c r="AP443" s="20"/>
      <c r="AQ443" s="20"/>
      <c r="AR443" s="20"/>
      <c r="AS443" s="20"/>
      <c r="AT443" s="87"/>
      <c r="AU443" s="87"/>
      <c r="AV443" s="87"/>
      <c r="AW443" s="87"/>
      <c r="AY443" s="20"/>
      <c r="AZ443" s="20"/>
      <c r="BA443" s="20"/>
      <c r="BB443" s="20"/>
      <c r="BC443" s="87"/>
      <c r="BD443" s="182"/>
      <c r="BE443" s="87"/>
      <c r="BF443" s="87"/>
      <c r="BM443" s="20"/>
    </row>
    <row r="444" ht="12.75" customHeight="1">
      <c r="A444" s="20"/>
      <c r="B444" s="239"/>
      <c r="AD444" s="24"/>
      <c r="AE444" s="25"/>
      <c r="AF444" s="26"/>
      <c r="AG444" s="24"/>
      <c r="AH444" s="25"/>
      <c r="AI444" s="27"/>
      <c r="AK444" s="28"/>
      <c r="AL444" s="29"/>
      <c r="AP444" s="20"/>
      <c r="AQ444" s="20"/>
      <c r="AR444" s="20"/>
      <c r="AS444" s="20"/>
      <c r="AT444" s="87"/>
      <c r="AU444" s="87"/>
      <c r="AV444" s="87"/>
      <c r="AW444" s="87"/>
      <c r="AY444" s="20"/>
      <c r="AZ444" s="20"/>
      <c r="BA444" s="20"/>
      <c r="BB444" s="20"/>
      <c r="BC444" s="87"/>
      <c r="BD444" s="182"/>
      <c r="BE444" s="87"/>
      <c r="BF444" s="87"/>
      <c r="BM444" s="20"/>
    </row>
    <row r="445" ht="12.75" customHeight="1">
      <c r="A445" s="20"/>
      <c r="B445" s="239"/>
      <c r="AD445" s="24"/>
      <c r="AE445" s="25"/>
      <c r="AF445" s="26"/>
      <c r="AG445" s="24"/>
      <c r="AH445" s="25"/>
      <c r="AI445" s="27"/>
      <c r="AK445" s="28"/>
      <c r="AL445" s="29"/>
      <c r="AP445" s="20"/>
      <c r="AQ445" s="20"/>
      <c r="AR445" s="20"/>
      <c r="AS445" s="20"/>
      <c r="AT445" s="87"/>
      <c r="AU445" s="87"/>
      <c r="AV445" s="87"/>
      <c r="AW445" s="87"/>
      <c r="AY445" s="20"/>
      <c r="AZ445" s="20"/>
      <c r="BA445" s="20"/>
      <c r="BB445" s="20"/>
      <c r="BC445" s="87"/>
      <c r="BD445" s="182"/>
      <c r="BE445" s="87"/>
      <c r="BF445" s="87"/>
      <c r="BM445" s="20"/>
    </row>
    <row r="446" ht="12.75" customHeight="1">
      <c r="A446" s="20"/>
      <c r="B446" s="239"/>
      <c r="AD446" s="24"/>
      <c r="AE446" s="25"/>
      <c r="AF446" s="26"/>
      <c r="AG446" s="24"/>
      <c r="AH446" s="25"/>
      <c r="AI446" s="27"/>
      <c r="AK446" s="28"/>
      <c r="AL446" s="29"/>
      <c r="AP446" s="20"/>
      <c r="AQ446" s="20"/>
      <c r="AR446" s="20"/>
      <c r="AS446" s="20"/>
      <c r="AT446" s="87"/>
      <c r="AU446" s="87"/>
      <c r="AV446" s="87"/>
      <c r="AW446" s="87"/>
      <c r="AY446" s="20"/>
      <c r="AZ446" s="20"/>
      <c r="BA446" s="20"/>
      <c r="BB446" s="20"/>
      <c r="BC446" s="87"/>
      <c r="BD446" s="182"/>
      <c r="BE446" s="87"/>
      <c r="BF446" s="87"/>
      <c r="BM446" s="20"/>
    </row>
    <row r="447" ht="12.75" customHeight="1">
      <c r="A447" s="20"/>
      <c r="B447" s="239"/>
      <c r="AD447" s="24"/>
      <c r="AE447" s="25"/>
      <c r="AF447" s="26"/>
      <c r="AG447" s="24"/>
      <c r="AH447" s="25"/>
      <c r="AI447" s="27"/>
      <c r="AK447" s="28"/>
      <c r="AL447" s="29"/>
      <c r="AP447" s="20"/>
      <c r="AQ447" s="20"/>
      <c r="AR447" s="20"/>
      <c r="AS447" s="20"/>
      <c r="AT447" s="87"/>
      <c r="AU447" s="87"/>
      <c r="AV447" s="87"/>
      <c r="AW447" s="87"/>
      <c r="AY447" s="20"/>
      <c r="AZ447" s="20"/>
      <c r="BA447" s="20"/>
      <c r="BB447" s="20"/>
      <c r="BC447" s="87"/>
      <c r="BD447" s="182"/>
      <c r="BE447" s="87"/>
      <c r="BF447" s="87"/>
      <c r="BM447" s="20"/>
    </row>
    <row r="448" ht="12.75" customHeight="1">
      <c r="A448" s="20"/>
      <c r="B448" s="239"/>
      <c r="AD448" s="24"/>
      <c r="AE448" s="25"/>
      <c r="AF448" s="26"/>
      <c r="AG448" s="24"/>
      <c r="AH448" s="25"/>
      <c r="AI448" s="27"/>
      <c r="AK448" s="28"/>
      <c r="AL448" s="29"/>
      <c r="AP448" s="20"/>
      <c r="AQ448" s="20"/>
      <c r="AR448" s="20"/>
      <c r="AS448" s="20"/>
      <c r="AT448" s="87"/>
      <c r="AU448" s="87"/>
      <c r="AV448" s="87"/>
      <c r="AW448" s="87"/>
      <c r="AY448" s="20"/>
      <c r="AZ448" s="20"/>
      <c r="BA448" s="20"/>
      <c r="BB448" s="20"/>
      <c r="BC448" s="87"/>
      <c r="BD448" s="182"/>
      <c r="BE448" s="87"/>
      <c r="BF448" s="87"/>
      <c r="BM448" s="20"/>
    </row>
    <row r="449" ht="12.75" customHeight="1">
      <c r="A449" s="20"/>
      <c r="B449" s="239"/>
      <c r="AD449" s="24"/>
      <c r="AE449" s="25"/>
      <c r="AF449" s="26"/>
      <c r="AG449" s="24"/>
      <c r="AH449" s="25"/>
      <c r="AI449" s="27"/>
      <c r="AK449" s="28"/>
      <c r="AL449" s="29"/>
      <c r="AP449" s="20"/>
      <c r="AQ449" s="20"/>
      <c r="AR449" s="20"/>
      <c r="AS449" s="20"/>
      <c r="AT449" s="87"/>
      <c r="AU449" s="87"/>
      <c r="AV449" s="87"/>
      <c r="AW449" s="87"/>
      <c r="AY449" s="20"/>
      <c r="AZ449" s="20"/>
      <c r="BA449" s="20"/>
      <c r="BB449" s="20"/>
      <c r="BC449" s="87"/>
      <c r="BD449" s="182"/>
      <c r="BE449" s="87"/>
      <c r="BF449" s="87"/>
      <c r="BM449" s="20"/>
    </row>
    <row r="450" ht="12.75" customHeight="1">
      <c r="A450" s="20"/>
      <c r="B450" s="239"/>
      <c r="AD450" s="24"/>
      <c r="AE450" s="25"/>
      <c r="AF450" s="26"/>
      <c r="AG450" s="24"/>
      <c r="AH450" s="25"/>
      <c r="AI450" s="27"/>
      <c r="AK450" s="28"/>
      <c r="AL450" s="29"/>
      <c r="AP450" s="20"/>
      <c r="AQ450" s="20"/>
      <c r="AR450" s="20"/>
      <c r="AS450" s="20"/>
      <c r="AT450" s="87"/>
      <c r="AU450" s="87"/>
      <c r="AV450" s="87"/>
      <c r="AW450" s="87"/>
      <c r="AY450" s="20"/>
      <c r="AZ450" s="20"/>
      <c r="BA450" s="20"/>
      <c r="BB450" s="20"/>
      <c r="BC450" s="87"/>
      <c r="BD450" s="182"/>
      <c r="BE450" s="87"/>
      <c r="BF450" s="87"/>
      <c r="BM450" s="20"/>
    </row>
    <row r="451" ht="12.75" customHeight="1">
      <c r="A451" s="20"/>
      <c r="B451" s="239"/>
      <c r="AD451" s="24"/>
      <c r="AE451" s="25"/>
      <c r="AF451" s="26"/>
      <c r="AG451" s="24"/>
      <c r="AH451" s="25"/>
      <c r="AI451" s="27"/>
      <c r="AK451" s="28"/>
      <c r="AL451" s="29"/>
      <c r="AP451" s="20"/>
      <c r="AQ451" s="20"/>
      <c r="AR451" s="20"/>
      <c r="AS451" s="20"/>
      <c r="AT451" s="87"/>
      <c r="AU451" s="87"/>
      <c r="AV451" s="87"/>
      <c r="AW451" s="87"/>
      <c r="AY451" s="20"/>
      <c r="AZ451" s="20"/>
      <c r="BA451" s="20"/>
      <c r="BB451" s="20"/>
      <c r="BC451" s="87"/>
      <c r="BD451" s="182"/>
      <c r="BE451" s="87"/>
      <c r="BF451" s="87"/>
      <c r="BM451" s="20"/>
    </row>
    <row r="452" ht="12.75" customHeight="1">
      <c r="A452" s="20"/>
      <c r="B452" s="239"/>
      <c r="AD452" s="24"/>
      <c r="AE452" s="25"/>
      <c r="AF452" s="26"/>
      <c r="AG452" s="24"/>
      <c r="AH452" s="25"/>
      <c r="AI452" s="27"/>
      <c r="AK452" s="28"/>
      <c r="AL452" s="29"/>
      <c r="AP452" s="20"/>
      <c r="AQ452" s="20"/>
      <c r="AR452" s="20"/>
      <c r="AS452" s="20"/>
      <c r="AT452" s="87"/>
      <c r="AU452" s="87"/>
      <c r="AV452" s="87"/>
      <c r="AW452" s="87"/>
      <c r="AY452" s="20"/>
      <c r="AZ452" s="20"/>
      <c r="BA452" s="20"/>
      <c r="BB452" s="20"/>
      <c r="BC452" s="87"/>
      <c r="BD452" s="182"/>
      <c r="BE452" s="87"/>
      <c r="BF452" s="87"/>
      <c r="BM452" s="20"/>
    </row>
    <row r="453" ht="12.75" customHeight="1">
      <c r="A453" s="20"/>
      <c r="B453" s="239"/>
      <c r="AD453" s="24"/>
      <c r="AE453" s="25"/>
      <c r="AF453" s="26"/>
      <c r="AG453" s="24"/>
      <c r="AH453" s="25"/>
      <c r="AI453" s="27"/>
      <c r="AK453" s="28"/>
      <c r="AL453" s="29"/>
      <c r="AP453" s="20"/>
      <c r="AQ453" s="20"/>
      <c r="AR453" s="20"/>
      <c r="AS453" s="20"/>
      <c r="AT453" s="87"/>
      <c r="AU453" s="87"/>
      <c r="AV453" s="87"/>
      <c r="AW453" s="87"/>
      <c r="AY453" s="20"/>
      <c r="AZ453" s="20"/>
      <c r="BA453" s="20"/>
      <c r="BB453" s="20"/>
      <c r="BC453" s="87"/>
      <c r="BD453" s="182"/>
      <c r="BE453" s="87"/>
      <c r="BF453" s="87"/>
      <c r="BM453" s="20"/>
    </row>
    <row r="454" ht="12.75" customHeight="1">
      <c r="A454" s="20"/>
      <c r="B454" s="239"/>
      <c r="AD454" s="24"/>
      <c r="AE454" s="25"/>
      <c r="AF454" s="26"/>
      <c r="AG454" s="24"/>
      <c r="AH454" s="25"/>
      <c r="AI454" s="27"/>
      <c r="AK454" s="28"/>
      <c r="AL454" s="29"/>
      <c r="AP454" s="20"/>
      <c r="AQ454" s="20"/>
      <c r="AR454" s="20"/>
      <c r="AS454" s="20"/>
      <c r="AT454" s="87"/>
      <c r="AU454" s="87"/>
      <c r="AV454" s="87"/>
      <c r="AW454" s="87"/>
      <c r="AY454" s="20"/>
      <c r="AZ454" s="20"/>
      <c r="BA454" s="20"/>
      <c r="BB454" s="20"/>
      <c r="BC454" s="87"/>
      <c r="BD454" s="182"/>
      <c r="BE454" s="87"/>
      <c r="BF454" s="87"/>
      <c r="BM454" s="20"/>
    </row>
    <row r="455" ht="12.75" customHeight="1">
      <c r="A455" s="20"/>
      <c r="B455" s="239"/>
      <c r="AD455" s="24"/>
      <c r="AE455" s="25"/>
      <c r="AF455" s="26"/>
      <c r="AG455" s="24"/>
      <c r="AH455" s="25"/>
      <c r="AI455" s="27"/>
      <c r="AK455" s="28"/>
      <c r="AL455" s="29"/>
      <c r="AP455" s="20"/>
      <c r="AQ455" s="20"/>
      <c r="AR455" s="20"/>
      <c r="AS455" s="20"/>
      <c r="AT455" s="87"/>
      <c r="AU455" s="87"/>
      <c r="AV455" s="87"/>
      <c r="AW455" s="87"/>
      <c r="AY455" s="20"/>
      <c r="AZ455" s="20"/>
      <c r="BA455" s="20"/>
      <c r="BB455" s="20"/>
      <c r="BC455" s="87"/>
      <c r="BD455" s="182"/>
      <c r="BE455" s="87"/>
      <c r="BF455" s="87"/>
      <c r="BM455" s="20"/>
    </row>
    <row r="456" ht="12.75" customHeight="1">
      <c r="A456" s="20"/>
      <c r="B456" s="239"/>
      <c r="AD456" s="24"/>
      <c r="AE456" s="25"/>
      <c r="AF456" s="26"/>
      <c r="AG456" s="24"/>
      <c r="AH456" s="25"/>
      <c r="AI456" s="27"/>
      <c r="AK456" s="28"/>
      <c r="AL456" s="29"/>
      <c r="AP456" s="20"/>
      <c r="AQ456" s="20"/>
      <c r="AR456" s="20"/>
      <c r="AS456" s="20"/>
      <c r="AT456" s="87"/>
      <c r="AU456" s="87"/>
      <c r="AV456" s="87"/>
      <c r="AW456" s="87"/>
      <c r="AY456" s="20"/>
      <c r="AZ456" s="20"/>
      <c r="BA456" s="20"/>
      <c r="BB456" s="20"/>
      <c r="BC456" s="87"/>
      <c r="BD456" s="182"/>
      <c r="BE456" s="87"/>
      <c r="BF456" s="87"/>
      <c r="BM456" s="20"/>
    </row>
    <row r="457" ht="12.75" customHeight="1">
      <c r="A457" s="20"/>
      <c r="B457" s="239"/>
      <c r="AD457" s="24"/>
      <c r="AE457" s="25"/>
      <c r="AF457" s="26"/>
      <c r="AG457" s="24"/>
      <c r="AH457" s="25"/>
      <c r="AI457" s="27"/>
      <c r="AK457" s="28"/>
      <c r="AL457" s="29"/>
      <c r="AP457" s="20"/>
      <c r="AQ457" s="20"/>
      <c r="AR457" s="20"/>
      <c r="AS457" s="20"/>
      <c r="AT457" s="87"/>
      <c r="AU457" s="87"/>
      <c r="AV457" s="87"/>
      <c r="AW457" s="87"/>
      <c r="AY457" s="20"/>
      <c r="AZ457" s="20"/>
      <c r="BA457" s="20"/>
      <c r="BB457" s="20"/>
      <c r="BC457" s="87"/>
      <c r="BD457" s="182"/>
      <c r="BE457" s="87"/>
      <c r="BF457" s="87"/>
      <c r="BM457" s="20"/>
    </row>
    <row r="458" ht="12.75" customHeight="1">
      <c r="A458" s="20"/>
      <c r="B458" s="239"/>
      <c r="AD458" s="24"/>
      <c r="AE458" s="25"/>
      <c r="AF458" s="26"/>
      <c r="AG458" s="24"/>
      <c r="AH458" s="25"/>
      <c r="AI458" s="27"/>
      <c r="AK458" s="28"/>
      <c r="AL458" s="29"/>
      <c r="AP458" s="20"/>
      <c r="AQ458" s="20"/>
      <c r="AR458" s="20"/>
      <c r="AS458" s="20"/>
      <c r="AT458" s="87"/>
      <c r="AU458" s="87"/>
      <c r="AV458" s="87"/>
      <c r="AW458" s="87"/>
      <c r="AY458" s="20"/>
      <c r="AZ458" s="20"/>
      <c r="BA458" s="20"/>
      <c r="BB458" s="20"/>
      <c r="BC458" s="87"/>
      <c r="BD458" s="182"/>
      <c r="BE458" s="87"/>
      <c r="BF458" s="87"/>
      <c r="BM458" s="20"/>
    </row>
    <row r="459" ht="12.75" customHeight="1">
      <c r="A459" s="20"/>
      <c r="B459" s="239"/>
      <c r="AD459" s="24"/>
      <c r="AE459" s="25"/>
      <c r="AF459" s="26"/>
      <c r="AG459" s="24"/>
      <c r="AH459" s="25"/>
      <c r="AI459" s="27"/>
      <c r="AK459" s="28"/>
      <c r="AL459" s="29"/>
      <c r="AP459" s="20"/>
      <c r="AQ459" s="20"/>
      <c r="AR459" s="20"/>
      <c r="AS459" s="20"/>
      <c r="AT459" s="87"/>
      <c r="AU459" s="87"/>
      <c r="AV459" s="87"/>
      <c r="AW459" s="87"/>
      <c r="AY459" s="20"/>
      <c r="AZ459" s="20"/>
      <c r="BA459" s="20"/>
      <c r="BB459" s="20"/>
      <c r="BC459" s="87"/>
      <c r="BD459" s="182"/>
      <c r="BE459" s="87"/>
      <c r="BF459" s="87"/>
      <c r="BM459" s="20"/>
    </row>
    <row r="460" ht="12.75" customHeight="1">
      <c r="A460" s="20"/>
      <c r="B460" s="239"/>
      <c r="AD460" s="24"/>
      <c r="AE460" s="25"/>
      <c r="AF460" s="26"/>
      <c r="AG460" s="24"/>
      <c r="AH460" s="25"/>
      <c r="AI460" s="27"/>
      <c r="AK460" s="28"/>
      <c r="AL460" s="29"/>
      <c r="AP460" s="20"/>
      <c r="AQ460" s="20"/>
      <c r="AR460" s="20"/>
      <c r="AS460" s="20"/>
      <c r="AT460" s="87"/>
      <c r="AU460" s="87"/>
      <c r="AV460" s="87"/>
      <c r="AW460" s="87"/>
      <c r="AY460" s="20"/>
      <c r="AZ460" s="20"/>
      <c r="BA460" s="20"/>
      <c r="BB460" s="20"/>
      <c r="BC460" s="87"/>
      <c r="BD460" s="182"/>
      <c r="BE460" s="87"/>
      <c r="BF460" s="87"/>
      <c r="BM460" s="20"/>
    </row>
    <row r="461" ht="12.75" customHeight="1">
      <c r="A461" s="20"/>
      <c r="B461" s="239"/>
      <c r="AD461" s="24"/>
      <c r="AE461" s="25"/>
      <c r="AF461" s="26"/>
      <c r="AG461" s="24"/>
      <c r="AH461" s="25"/>
      <c r="AI461" s="27"/>
      <c r="AK461" s="28"/>
      <c r="AL461" s="29"/>
      <c r="AP461" s="20"/>
      <c r="AQ461" s="20"/>
      <c r="AR461" s="20"/>
      <c r="AS461" s="20"/>
      <c r="AT461" s="87"/>
      <c r="AU461" s="87"/>
      <c r="AV461" s="87"/>
      <c r="AW461" s="87"/>
      <c r="AY461" s="20"/>
      <c r="AZ461" s="20"/>
      <c r="BA461" s="20"/>
      <c r="BB461" s="20"/>
      <c r="BC461" s="87"/>
      <c r="BD461" s="182"/>
      <c r="BE461" s="87"/>
      <c r="BF461" s="87"/>
      <c r="BM461" s="20"/>
    </row>
    <row r="462" ht="12.75" customHeight="1">
      <c r="A462" s="20"/>
      <c r="B462" s="239"/>
      <c r="AD462" s="24"/>
      <c r="AE462" s="25"/>
      <c r="AF462" s="26"/>
      <c r="AG462" s="24"/>
      <c r="AH462" s="25"/>
      <c r="AI462" s="27"/>
      <c r="AK462" s="28"/>
      <c r="AL462" s="29"/>
      <c r="AP462" s="20"/>
      <c r="AQ462" s="20"/>
      <c r="AR462" s="20"/>
      <c r="AS462" s="20"/>
      <c r="AT462" s="87"/>
      <c r="AU462" s="87"/>
      <c r="AV462" s="87"/>
      <c r="AW462" s="87"/>
      <c r="AY462" s="20"/>
      <c r="AZ462" s="20"/>
      <c r="BA462" s="20"/>
      <c r="BB462" s="20"/>
      <c r="BC462" s="87"/>
      <c r="BD462" s="182"/>
      <c r="BE462" s="87"/>
      <c r="BF462" s="87"/>
      <c r="BM462" s="20"/>
    </row>
    <row r="463" ht="12.75" customHeight="1">
      <c r="A463" s="20"/>
      <c r="B463" s="239"/>
      <c r="AD463" s="24"/>
      <c r="AE463" s="25"/>
      <c r="AF463" s="26"/>
      <c r="AG463" s="24"/>
      <c r="AH463" s="25"/>
      <c r="AI463" s="27"/>
      <c r="AK463" s="28"/>
      <c r="AL463" s="29"/>
      <c r="AP463" s="20"/>
      <c r="AQ463" s="20"/>
      <c r="AR463" s="20"/>
      <c r="AS463" s="20"/>
      <c r="AT463" s="87"/>
      <c r="AU463" s="87"/>
      <c r="AV463" s="87"/>
      <c r="AW463" s="87"/>
      <c r="AY463" s="20"/>
      <c r="AZ463" s="20"/>
      <c r="BA463" s="20"/>
      <c r="BB463" s="20"/>
      <c r="BC463" s="87"/>
      <c r="BD463" s="182"/>
      <c r="BE463" s="87"/>
      <c r="BF463" s="87"/>
      <c r="BM463" s="20"/>
    </row>
    <row r="464" ht="12.75" customHeight="1">
      <c r="A464" s="20"/>
      <c r="B464" s="239"/>
      <c r="AD464" s="24"/>
      <c r="AE464" s="25"/>
      <c r="AF464" s="26"/>
      <c r="AG464" s="24"/>
      <c r="AH464" s="25"/>
      <c r="AI464" s="27"/>
      <c r="AK464" s="28"/>
      <c r="AL464" s="29"/>
      <c r="AP464" s="20"/>
      <c r="AQ464" s="20"/>
      <c r="AR464" s="20"/>
      <c r="AS464" s="20"/>
      <c r="AT464" s="87"/>
      <c r="AU464" s="87"/>
      <c r="AV464" s="87"/>
      <c r="AW464" s="87"/>
      <c r="AY464" s="20"/>
      <c r="AZ464" s="20"/>
      <c r="BA464" s="20"/>
      <c r="BB464" s="20"/>
      <c r="BC464" s="87"/>
      <c r="BD464" s="182"/>
      <c r="BE464" s="87"/>
      <c r="BF464" s="87"/>
      <c r="BM464" s="20"/>
    </row>
    <row r="465" ht="12.75" customHeight="1">
      <c r="A465" s="20"/>
      <c r="B465" s="239"/>
      <c r="AD465" s="24"/>
      <c r="AE465" s="25"/>
      <c r="AF465" s="26"/>
      <c r="AG465" s="24"/>
      <c r="AH465" s="25"/>
      <c r="AI465" s="27"/>
      <c r="AK465" s="28"/>
      <c r="AL465" s="29"/>
      <c r="AP465" s="20"/>
      <c r="AQ465" s="20"/>
      <c r="AR465" s="20"/>
      <c r="AS465" s="20"/>
      <c r="AT465" s="87"/>
      <c r="AU465" s="87"/>
      <c r="AV465" s="87"/>
      <c r="AW465" s="87"/>
      <c r="AY465" s="20"/>
      <c r="AZ465" s="20"/>
      <c r="BA465" s="20"/>
      <c r="BB465" s="20"/>
      <c r="BC465" s="87"/>
      <c r="BD465" s="182"/>
      <c r="BE465" s="87"/>
      <c r="BF465" s="87"/>
      <c r="BM465" s="20"/>
    </row>
    <row r="466" ht="12.75" customHeight="1">
      <c r="A466" s="20"/>
      <c r="B466" s="239"/>
      <c r="AD466" s="24"/>
      <c r="AE466" s="25"/>
      <c r="AF466" s="26"/>
      <c r="AG466" s="24"/>
      <c r="AH466" s="25"/>
      <c r="AI466" s="27"/>
      <c r="AK466" s="28"/>
      <c r="AL466" s="29"/>
      <c r="AP466" s="20"/>
      <c r="AQ466" s="20"/>
      <c r="AR466" s="20"/>
      <c r="AS466" s="20"/>
      <c r="AT466" s="87"/>
      <c r="AU466" s="87"/>
      <c r="AV466" s="87"/>
      <c r="AW466" s="87"/>
      <c r="AY466" s="20"/>
      <c r="AZ466" s="20"/>
      <c r="BA466" s="20"/>
      <c r="BB466" s="20"/>
      <c r="BC466" s="87"/>
      <c r="BD466" s="182"/>
      <c r="BE466" s="87"/>
      <c r="BF466" s="87"/>
      <c r="BM466" s="20"/>
    </row>
    <row r="467" ht="12.75" customHeight="1">
      <c r="A467" s="20"/>
      <c r="B467" s="239"/>
      <c r="AD467" s="24"/>
      <c r="AE467" s="25"/>
      <c r="AF467" s="26"/>
      <c r="AG467" s="24"/>
      <c r="AH467" s="25"/>
      <c r="AI467" s="27"/>
      <c r="AK467" s="28"/>
      <c r="AL467" s="29"/>
      <c r="AP467" s="20"/>
      <c r="AQ467" s="20"/>
      <c r="AR467" s="20"/>
      <c r="AS467" s="20"/>
      <c r="AT467" s="87"/>
      <c r="AU467" s="87"/>
      <c r="AV467" s="87"/>
      <c r="AW467" s="87"/>
      <c r="AY467" s="20"/>
      <c r="AZ467" s="20"/>
      <c r="BA467" s="20"/>
      <c r="BB467" s="20"/>
      <c r="BC467" s="87"/>
      <c r="BD467" s="182"/>
      <c r="BE467" s="87"/>
      <c r="BF467" s="87"/>
      <c r="BM467" s="20"/>
    </row>
    <row r="468" ht="12.75" customHeight="1">
      <c r="A468" s="20"/>
      <c r="B468" s="239"/>
      <c r="AD468" s="24"/>
      <c r="AE468" s="25"/>
      <c r="AF468" s="26"/>
      <c r="AG468" s="24"/>
      <c r="AH468" s="25"/>
      <c r="AI468" s="27"/>
      <c r="AK468" s="28"/>
      <c r="AL468" s="29"/>
      <c r="AP468" s="20"/>
      <c r="AQ468" s="20"/>
      <c r="AR468" s="20"/>
      <c r="AS468" s="20"/>
      <c r="AT468" s="87"/>
      <c r="AU468" s="87"/>
      <c r="AV468" s="87"/>
      <c r="AW468" s="87"/>
      <c r="AY468" s="20"/>
      <c r="AZ468" s="20"/>
      <c r="BA468" s="20"/>
      <c r="BB468" s="20"/>
      <c r="BC468" s="87"/>
      <c r="BD468" s="182"/>
      <c r="BE468" s="87"/>
      <c r="BF468" s="87"/>
      <c r="BM468" s="20"/>
    </row>
    <row r="469" ht="12.75" customHeight="1">
      <c r="A469" s="20"/>
      <c r="B469" s="239"/>
      <c r="AD469" s="24"/>
      <c r="AE469" s="25"/>
      <c r="AF469" s="26"/>
      <c r="AG469" s="24"/>
      <c r="AH469" s="25"/>
      <c r="AI469" s="27"/>
      <c r="AK469" s="28"/>
      <c r="AL469" s="29"/>
      <c r="AP469" s="20"/>
      <c r="AQ469" s="20"/>
      <c r="AR469" s="20"/>
      <c r="AS469" s="20"/>
      <c r="AT469" s="87"/>
      <c r="AU469" s="87"/>
      <c r="AV469" s="87"/>
      <c r="AW469" s="87"/>
      <c r="AY469" s="20"/>
      <c r="AZ469" s="20"/>
      <c r="BA469" s="20"/>
      <c r="BB469" s="20"/>
      <c r="BC469" s="87"/>
      <c r="BD469" s="182"/>
      <c r="BE469" s="87"/>
      <c r="BF469" s="87"/>
      <c r="BM469" s="20"/>
    </row>
    <row r="470" ht="12.75" customHeight="1">
      <c r="A470" s="20"/>
      <c r="B470" s="239"/>
      <c r="AD470" s="24"/>
      <c r="AE470" s="25"/>
      <c r="AF470" s="26"/>
      <c r="AG470" s="24"/>
      <c r="AH470" s="25"/>
      <c r="AI470" s="27"/>
      <c r="AK470" s="28"/>
      <c r="AL470" s="29"/>
      <c r="AP470" s="20"/>
      <c r="AQ470" s="20"/>
      <c r="AR470" s="20"/>
      <c r="AS470" s="20"/>
      <c r="AT470" s="87"/>
      <c r="AU470" s="87"/>
      <c r="AV470" s="87"/>
      <c r="AW470" s="87"/>
      <c r="AY470" s="20"/>
      <c r="AZ470" s="20"/>
      <c r="BA470" s="20"/>
      <c r="BB470" s="20"/>
      <c r="BC470" s="87"/>
      <c r="BD470" s="182"/>
      <c r="BE470" s="87"/>
      <c r="BF470" s="87"/>
      <c r="BM470" s="20"/>
    </row>
    <row r="471" ht="12.75" customHeight="1">
      <c r="A471" s="20"/>
      <c r="B471" s="239"/>
      <c r="AD471" s="24"/>
      <c r="AE471" s="25"/>
      <c r="AF471" s="26"/>
      <c r="AG471" s="24"/>
      <c r="AH471" s="25"/>
      <c r="AI471" s="27"/>
      <c r="AK471" s="28"/>
      <c r="AL471" s="29"/>
      <c r="AP471" s="20"/>
      <c r="AQ471" s="20"/>
      <c r="AR471" s="20"/>
      <c r="AS471" s="20"/>
      <c r="AT471" s="87"/>
      <c r="AU471" s="87"/>
      <c r="AV471" s="87"/>
      <c r="AW471" s="87"/>
      <c r="AY471" s="20"/>
      <c r="AZ471" s="20"/>
      <c r="BA471" s="20"/>
      <c r="BB471" s="20"/>
      <c r="BC471" s="87"/>
      <c r="BD471" s="182"/>
      <c r="BE471" s="87"/>
      <c r="BF471" s="87"/>
      <c r="BM471" s="20"/>
    </row>
    <row r="472" ht="12.75" customHeight="1">
      <c r="A472" s="20"/>
      <c r="B472" s="239"/>
      <c r="AD472" s="24"/>
      <c r="AE472" s="25"/>
      <c r="AF472" s="26"/>
      <c r="AG472" s="24"/>
      <c r="AH472" s="25"/>
      <c r="AI472" s="27"/>
      <c r="AK472" s="28"/>
      <c r="AL472" s="29"/>
      <c r="AP472" s="20"/>
      <c r="AQ472" s="20"/>
      <c r="AR472" s="20"/>
      <c r="AS472" s="20"/>
      <c r="AT472" s="87"/>
      <c r="AU472" s="87"/>
      <c r="AV472" s="87"/>
      <c r="AW472" s="87"/>
      <c r="AY472" s="20"/>
      <c r="AZ472" s="20"/>
      <c r="BA472" s="20"/>
      <c r="BB472" s="20"/>
      <c r="BC472" s="87"/>
      <c r="BD472" s="182"/>
      <c r="BE472" s="87"/>
      <c r="BF472" s="87"/>
      <c r="BM472" s="20"/>
    </row>
    <row r="473" ht="12.75" customHeight="1">
      <c r="A473" s="20"/>
      <c r="B473" s="239"/>
      <c r="AD473" s="24"/>
      <c r="AE473" s="25"/>
      <c r="AF473" s="26"/>
      <c r="AG473" s="24"/>
      <c r="AH473" s="25"/>
      <c r="AI473" s="27"/>
      <c r="AK473" s="28"/>
      <c r="AL473" s="29"/>
      <c r="AP473" s="20"/>
      <c r="AQ473" s="20"/>
      <c r="AR473" s="20"/>
      <c r="AS473" s="20"/>
      <c r="AT473" s="87"/>
      <c r="AU473" s="87"/>
      <c r="AV473" s="87"/>
      <c r="AW473" s="87"/>
      <c r="AY473" s="20"/>
      <c r="AZ473" s="20"/>
      <c r="BA473" s="20"/>
      <c r="BB473" s="20"/>
      <c r="BC473" s="87"/>
      <c r="BD473" s="182"/>
      <c r="BE473" s="87"/>
      <c r="BF473" s="87"/>
      <c r="BM473" s="20"/>
    </row>
    <row r="474" ht="12.75" customHeight="1">
      <c r="A474" s="20"/>
      <c r="B474" s="239"/>
      <c r="AD474" s="24"/>
      <c r="AE474" s="25"/>
      <c r="AF474" s="26"/>
      <c r="AG474" s="24"/>
      <c r="AH474" s="25"/>
      <c r="AI474" s="27"/>
      <c r="AK474" s="28"/>
      <c r="AL474" s="29"/>
      <c r="AP474" s="20"/>
      <c r="AQ474" s="20"/>
      <c r="AR474" s="20"/>
      <c r="AS474" s="20"/>
      <c r="AT474" s="87"/>
      <c r="AU474" s="87"/>
      <c r="AV474" s="87"/>
      <c r="AW474" s="87"/>
      <c r="AY474" s="20"/>
      <c r="AZ474" s="20"/>
      <c r="BA474" s="20"/>
      <c r="BB474" s="20"/>
      <c r="BC474" s="87"/>
      <c r="BD474" s="182"/>
      <c r="BE474" s="87"/>
      <c r="BF474" s="87"/>
      <c r="BM474" s="20"/>
    </row>
    <row r="475" ht="12.75" customHeight="1">
      <c r="A475" s="20"/>
      <c r="B475" s="239"/>
      <c r="AD475" s="24"/>
      <c r="AE475" s="25"/>
      <c r="AF475" s="26"/>
      <c r="AG475" s="24"/>
      <c r="AH475" s="25"/>
      <c r="AI475" s="27"/>
      <c r="AK475" s="28"/>
      <c r="AL475" s="29"/>
      <c r="AP475" s="20"/>
      <c r="AQ475" s="20"/>
      <c r="AR475" s="20"/>
      <c r="AS475" s="20"/>
      <c r="AT475" s="87"/>
      <c r="AU475" s="87"/>
      <c r="AV475" s="87"/>
      <c r="AW475" s="87"/>
      <c r="AY475" s="20"/>
      <c r="AZ475" s="20"/>
      <c r="BA475" s="20"/>
      <c r="BB475" s="20"/>
      <c r="BC475" s="87"/>
      <c r="BD475" s="182"/>
      <c r="BE475" s="87"/>
      <c r="BF475" s="87"/>
      <c r="BM475" s="20"/>
    </row>
    <row r="476" ht="12.75" customHeight="1">
      <c r="A476" s="20"/>
      <c r="B476" s="239"/>
      <c r="AD476" s="24"/>
      <c r="AE476" s="25"/>
      <c r="AF476" s="26"/>
      <c r="AG476" s="24"/>
      <c r="AH476" s="25"/>
      <c r="AI476" s="27"/>
      <c r="AK476" s="28"/>
      <c r="AL476" s="29"/>
      <c r="AP476" s="20"/>
      <c r="AQ476" s="20"/>
      <c r="AR476" s="20"/>
      <c r="AS476" s="20"/>
      <c r="AT476" s="87"/>
      <c r="AU476" s="87"/>
      <c r="AV476" s="87"/>
      <c r="AW476" s="87"/>
      <c r="AY476" s="20"/>
      <c r="AZ476" s="20"/>
      <c r="BA476" s="20"/>
      <c r="BB476" s="20"/>
      <c r="BC476" s="87"/>
      <c r="BD476" s="182"/>
      <c r="BE476" s="87"/>
      <c r="BF476" s="87"/>
      <c r="BM476" s="20"/>
    </row>
    <row r="477" ht="12.75" customHeight="1">
      <c r="A477" s="20"/>
      <c r="B477" s="239"/>
      <c r="AD477" s="24"/>
      <c r="AE477" s="25"/>
      <c r="AF477" s="26"/>
      <c r="AG477" s="24"/>
      <c r="AH477" s="25"/>
      <c r="AI477" s="27"/>
      <c r="AK477" s="28"/>
      <c r="AL477" s="29"/>
      <c r="AP477" s="20"/>
      <c r="AQ477" s="20"/>
      <c r="AR477" s="20"/>
      <c r="AS477" s="20"/>
      <c r="AT477" s="87"/>
      <c r="AU477" s="87"/>
      <c r="AV477" s="87"/>
      <c r="AW477" s="87"/>
      <c r="AY477" s="20"/>
      <c r="AZ477" s="20"/>
      <c r="BA477" s="20"/>
      <c r="BB477" s="20"/>
      <c r="BC477" s="87"/>
      <c r="BD477" s="182"/>
      <c r="BE477" s="87"/>
      <c r="BF477" s="87"/>
      <c r="BM477" s="20"/>
    </row>
    <row r="478" ht="12.75" customHeight="1">
      <c r="A478" s="20"/>
      <c r="B478" s="239"/>
      <c r="AD478" s="24"/>
      <c r="AE478" s="25"/>
      <c r="AF478" s="26"/>
      <c r="AG478" s="24"/>
      <c r="AH478" s="25"/>
      <c r="AI478" s="27"/>
      <c r="AK478" s="28"/>
      <c r="AL478" s="29"/>
      <c r="AP478" s="20"/>
      <c r="AQ478" s="20"/>
      <c r="AR478" s="20"/>
      <c r="AS478" s="20"/>
      <c r="AT478" s="87"/>
      <c r="AU478" s="87"/>
      <c r="AV478" s="87"/>
      <c r="AW478" s="87"/>
      <c r="AY478" s="20"/>
      <c r="AZ478" s="20"/>
      <c r="BA478" s="20"/>
      <c r="BB478" s="20"/>
      <c r="BC478" s="87"/>
      <c r="BD478" s="182"/>
      <c r="BE478" s="87"/>
      <c r="BF478" s="87"/>
      <c r="BM478" s="20"/>
    </row>
    <row r="479" ht="12.75" customHeight="1">
      <c r="A479" s="20"/>
      <c r="B479" s="239"/>
      <c r="AD479" s="24"/>
      <c r="AE479" s="25"/>
      <c r="AF479" s="26"/>
      <c r="AG479" s="24"/>
      <c r="AH479" s="25"/>
      <c r="AI479" s="27"/>
      <c r="AK479" s="28"/>
      <c r="AL479" s="29"/>
      <c r="AP479" s="20"/>
      <c r="AQ479" s="20"/>
      <c r="AR479" s="20"/>
      <c r="AS479" s="20"/>
      <c r="AT479" s="87"/>
      <c r="AU479" s="87"/>
      <c r="AV479" s="87"/>
      <c r="AW479" s="87"/>
      <c r="AY479" s="20"/>
      <c r="AZ479" s="20"/>
      <c r="BA479" s="20"/>
      <c r="BB479" s="20"/>
      <c r="BC479" s="87"/>
      <c r="BD479" s="182"/>
      <c r="BE479" s="87"/>
      <c r="BF479" s="87"/>
      <c r="BM479" s="20"/>
    </row>
    <row r="480" ht="12.75" customHeight="1">
      <c r="A480" s="20"/>
      <c r="B480" s="239"/>
      <c r="AD480" s="24"/>
      <c r="AE480" s="25"/>
      <c r="AF480" s="26"/>
      <c r="AG480" s="24"/>
      <c r="AH480" s="25"/>
      <c r="AI480" s="27"/>
      <c r="AK480" s="28"/>
      <c r="AL480" s="29"/>
      <c r="AP480" s="20"/>
      <c r="AQ480" s="20"/>
      <c r="AR480" s="20"/>
      <c r="AS480" s="20"/>
      <c r="AT480" s="87"/>
      <c r="AU480" s="87"/>
      <c r="AV480" s="87"/>
      <c r="AW480" s="87"/>
      <c r="AY480" s="20"/>
      <c r="AZ480" s="20"/>
      <c r="BA480" s="20"/>
      <c r="BB480" s="20"/>
      <c r="BC480" s="87"/>
      <c r="BD480" s="182"/>
      <c r="BE480" s="87"/>
      <c r="BF480" s="87"/>
      <c r="BM480" s="20"/>
    </row>
    <row r="481" ht="12.75" customHeight="1">
      <c r="A481" s="20"/>
      <c r="B481" s="239"/>
      <c r="AD481" s="24"/>
      <c r="AE481" s="25"/>
      <c r="AF481" s="26"/>
      <c r="AG481" s="24"/>
      <c r="AH481" s="25"/>
      <c r="AI481" s="27"/>
      <c r="AK481" s="28"/>
      <c r="AL481" s="29"/>
      <c r="AP481" s="20"/>
      <c r="AQ481" s="20"/>
      <c r="AR481" s="20"/>
      <c r="AS481" s="20"/>
      <c r="AT481" s="87"/>
      <c r="AU481" s="87"/>
      <c r="AV481" s="87"/>
      <c r="AW481" s="87"/>
      <c r="AY481" s="20"/>
      <c r="AZ481" s="20"/>
      <c r="BA481" s="20"/>
      <c r="BB481" s="20"/>
      <c r="BC481" s="87"/>
      <c r="BD481" s="182"/>
      <c r="BE481" s="87"/>
      <c r="BF481" s="87"/>
      <c r="BM481" s="20"/>
    </row>
    <row r="482" ht="12.75" customHeight="1">
      <c r="A482" s="20"/>
      <c r="B482" s="239"/>
      <c r="AD482" s="24"/>
      <c r="AE482" s="25"/>
      <c r="AF482" s="26"/>
      <c r="AG482" s="24"/>
      <c r="AH482" s="25"/>
      <c r="AI482" s="27"/>
      <c r="AK482" s="28"/>
      <c r="AL482" s="29"/>
      <c r="AP482" s="20"/>
      <c r="AQ482" s="20"/>
      <c r="AR482" s="20"/>
      <c r="AS482" s="20"/>
      <c r="AT482" s="87"/>
      <c r="AU482" s="87"/>
      <c r="AV482" s="87"/>
      <c r="AW482" s="87"/>
      <c r="AY482" s="20"/>
      <c r="AZ482" s="20"/>
      <c r="BA482" s="20"/>
      <c r="BB482" s="20"/>
      <c r="BC482" s="87"/>
      <c r="BD482" s="182"/>
      <c r="BE482" s="87"/>
      <c r="BF482" s="87"/>
      <c r="BM482" s="20"/>
    </row>
    <row r="483" ht="12.75" customHeight="1">
      <c r="A483" s="20"/>
      <c r="B483" s="239"/>
      <c r="AD483" s="24"/>
      <c r="AE483" s="25"/>
      <c r="AF483" s="26"/>
      <c r="AG483" s="24"/>
      <c r="AH483" s="25"/>
      <c r="AI483" s="27"/>
      <c r="AK483" s="28"/>
      <c r="AL483" s="29"/>
      <c r="AP483" s="20"/>
      <c r="AQ483" s="20"/>
      <c r="AR483" s="20"/>
      <c r="AS483" s="20"/>
      <c r="AT483" s="87"/>
      <c r="AU483" s="87"/>
      <c r="AV483" s="87"/>
      <c r="AW483" s="87"/>
      <c r="AY483" s="20"/>
      <c r="AZ483" s="20"/>
      <c r="BA483" s="20"/>
      <c r="BB483" s="20"/>
      <c r="BC483" s="87"/>
      <c r="BD483" s="182"/>
      <c r="BE483" s="87"/>
      <c r="BF483" s="87"/>
      <c r="BM483" s="20"/>
    </row>
    <row r="484" ht="12.75" customHeight="1">
      <c r="A484" s="20"/>
      <c r="B484" s="239"/>
      <c r="AD484" s="24"/>
      <c r="AE484" s="25"/>
      <c r="AF484" s="26"/>
      <c r="AG484" s="24"/>
      <c r="AH484" s="25"/>
      <c r="AI484" s="27"/>
      <c r="AK484" s="28"/>
      <c r="AL484" s="29"/>
      <c r="AP484" s="20"/>
      <c r="AQ484" s="20"/>
      <c r="AR484" s="20"/>
      <c r="AS484" s="20"/>
      <c r="AT484" s="87"/>
      <c r="AU484" s="87"/>
      <c r="AV484" s="87"/>
      <c r="AW484" s="87"/>
      <c r="AY484" s="20"/>
      <c r="AZ484" s="20"/>
      <c r="BA484" s="20"/>
      <c r="BB484" s="20"/>
      <c r="BC484" s="87"/>
      <c r="BD484" s="182"/>
      <c r="BE484" s="87"/>
      <c r="BF484" s="87"/>
      <c r="BM484" s="20"/>
    </row>
    <row r="485" ht="12.75" customHeight="1">
      <c r="A485" s="20"/>
      <c r="B485" s="239"/>
      <c r="AD485" s="24"/>
      <c r="AE485" s="25"/>
      <c r="AF485" s="26"/>
      <c r="AG485" s="24"/>
      <c r="AH485" s="25"/>
      <c r="AI485" s="27"/>
      <c r="AK485" s="28"/>
      <c r="AL485" s="29"/>
      <c r="AP485" s="20"/>
      <c r="AQ485" s="20"/>
      <c r="AR485" s="20"/>
      <c r="AS485" s="20"/>
      <c r="AT485" s="87"/>
      <c r="AU485" s="87"/>
      <c r="AV485" s="87"/>
      <c r="AW485" s="87"/>
      <c r="AY485" s="20"/>
      <c r="AZ485" s="20"/>
      <c r="BA485" s="20"/>
      <c r="BB485" s="20"/>
      <c r="BC485" s="87"/>
      <c r="BD485" s="182"/>
      <c r="BE485" s="87"/>
      <c r="BF485" s="87"/>
      <c r="BM485" s="20"/>
    </row>
    <row r="486" ht="12.75" customHeight="1">
      <c r="A486" s="20"/>
      <c r="B486" s="239"/>
      <c r="AD486" s="24"/>
      <c r="AE486" s="25"/>
      <c r="AF486" s="26"/>
      <c r="AG486" s="24"/>
      <c r="AH486" s="25"/>
      <c r="AI486" s="27"/>
      <c r="AK486" s="28"/>
      <c r="AL486" s="29"/>
      <c r="AP486" s="20"/>
      <c r="AQ486" s="20"/>
      <c r="AR486" s="20"/>
      <c r="AS486" s="20"/>
      <c r="AT486" s="87"/>
      <c r="AU486" s="87"/>
      <c r="AV486" s="87"/>
      <c r="AW486" s="87"/>
      <c r="AY486" s="20"/>
      <c r="AZ486" s="20"/>
      <c r="BA486" s="20"/>
      <c r="BB486" s="20"/>
      <c r="BC486" s="87"/>
      <c r="BD486" s="182"/>
      <c r="BE486" s="87"/>
      <c r="BF486" s="87"/>
      <c r="BM486" s="20"/>
    </row>
    <row r="487" ht="12.75" customHeight="1">
      <c r="A487" s="20"/>
      <c r="B487" s="239"/>
      <c r="AD487" s="24"/>
      <c r="AE487" s="25"/>
      <c r="AF487" s="26"/>
      <c r="AG487" s="24"/>
      <c r="AH487" s="25"/>
      <c r="AI487" s="27"/>
      <c r="AK487" s="28"/>
      <c r="AL487" s="29"/>
      <c r="AP487" s="20"/>
      <c r="AQ487" s="20"/>
      <c r="AR487" s="20"/>
      <c r="AS487" s="20"/>
      <c r="AT487" s="87"/>
      <c r="AU487" s="87"/>
      <c r="AV487" s="87"/>
      <c r="AW487" s="87"/>
      <c r="AY487" s="20"/>
      <c r="AZ487" s="20"/>
      <c r="BA487" s="20"/>
      <c r="BB487" s="20"/>
      <c r="BC487" s="87"/>
      <c r="BD487" s="182"/>
      <c r="BE487" s="87"/>
      <c r="BF487" s="87"/>
      <c r="BM487" s="20"/>
    </row>
    <row r="488" ht="12.75" customHeight="1">
      <c r="A488" s="20"/>
      <c r="B488" s="239"/>
      <c r="AD488" s="24"/>
      <c r="AE488" s="25"/>
      <c r="AF488" s="26"/>
      <c r="AG488" s="24"/>
      <c r="AH488" s="25"/>
      <c r="AI488" s="27"/>
      <c r="AK488" s="28"/>
      <c r="AL488" s="29"/>
      <c r="AP488" s="20"/>
      <c r="AQ488" s="20"/>
      <c r="AR488" s="20"/>
      <c r="AS488" s="20"/>
      <c r="AT488" s="87"/>
      <c r="AU488" s="87"/>
      <c r="AV488" s="87"/>
      <c r="AW488" s="87"/>
      <c r="AY488" s="20"/>
      <c r="AZ488" s="20"/>
      <c r="BA488" s="20"/>
      <c r="BB488" s="20"/>
      <c r="BC488" s="87"/>
      <c r="BD488" s="182"/>
      <c r="BE488" s="87"/>
      <c r="BF488" s="87"/>
      <c r="BM488" s="20"/>
    </row>
    <row r="489" ht="12.75" customHeight="1">
      <c r="A489" s="20"/>
      <c r="B489" s="239"/>
      <c r="AD489" s="24"/>
      <c r="AE489" s="25"/>
      <c r="AF489" s="26"/>
      <c r="AG489" s="24"/>
      <c r="AH489" s="25"/>
      <c r="AI489" s="27"/>
      <c r="AK489" s="28"/>
      <c r="AL489" s="29"/>
      <c r="AP489" s="20"/>
      <c r="AQ489" s="20"/>
      <c r="AR489" s="20"/>
      <c r="AS489" s="20"/>
      <c r="AT489" s="87"/>
      <c r="AU489" s="87"/>
      <c r="AV489" s="87"/>
      <c r="AW489" s="87"/>
      <c r="AY489" s="20"/>
      <c r="AZ489" s="20"/>
      <c r="BA489" s="20"/>
      <c r="BB489" s="20"/>
      <c r="BC489" s="87"/>
      <c r="BD489" s="182"/>
      <c r="BE489" s="87"/>
      <c r="BF489" s="87"/>
      <c r="BM489" s="20"/>
    </row>
    <row r="490" ht="12.75" customHeight="1">
      <c r="A490" s="20"/>
      <c r="B490" s="239"/>
      <c r="AD490" s="24"/>
      <c r="AE490" s="25"/>
      <c r="AF490" s="26"/>
      <c r="AG490" s="24"/>
      <c r="AH490" s="25"/>
      <c r="AI490" s="27"/>
      <c r="AK490" s="28"/>
      <c r="AL490" s="29"/>
      <c r="AP490" s="20"/>
      <c r="AQ490" s="20"/>
      <c r="AR490" s="20"/>
      <c r="AS490" s="20"/>
      <c r="AT490" s="87"/>
      <c r="AU490" s="87"/>
      <c r="AV490" s="87"/>
      <c r="AW490" s="87"/>
      <c r="AY490" s="20"/>
      <c r="AZ490" s="20"/>
      <c r="BA490" s="20"/>
      <c r="BB490" s="20"/>
      <c r="BC490" s="87"/>
      <c r="BD490" s="182"/>
      <c r="BE490" s="87"/>
      <c r="BF490" s="87"/>
      <c r="BM490" s="20"/>
    </row>
    <row r="491" ht="12.75" customHeight="1">
      <c r="A491" s="20"/>
      <c r="B491" s="239"/>
      <c r="AD491" s="24"/>
      <c r="AE491" s="25"/>
      <c r="AF491" s="26"/>
      <c r="AG491" s="24"/>
      <c r="AH491" s="25"/>
      <c r="AI491" s="27"/>
      <c r="AK491" s="28"/>
      <c r="AL491" s="29"/>
      <c r="AP491" s="20"/>
      <c r="AQ491" s="20"/>
      <c r="AR491" s="20"/>
      <c r="AS491" s="20"/>
      <c r="AT491" s="87"/>
      <c r="AU491" s="87"/>
      <c r="AV491" s="87"/>
      <c r="AW491" s="87"/>
      <c r="AY491" s="20"/>
      <c r="AZ491" s="20"/>
      <c r="BA491" s="20"/>
      <c r="BB491" s="20"/>
      <c r="BC491" s="87"/>
      <c r="BD491" s="182"/>
      <c r="BE491" s="87"/>
      <c r="BF491" s="87"/>
      <c r="BM491" s="20"/>
    </row>
    <row r="492" ht="12.75" customHeight="1">
      <c r="A492" s="20"/>
      <c r="B492" s="239"/>
      <c r="AD492" s="24"/>
      <c r="AE492" s="25"/>
      <c r="AF492" s="26"/>
      <c r="AG492" s="24"/>
      <c r="AH492" s="25"/>
      <c r="AI492" s="27"/>
      <c r="AK492" s="28"/>
      <c r="AL492" s="29"/>
      <c r="AP492" s="20"/>
      <c r="AQ492" s="20"/>
      <c r="AR492" s="20"/>
      <c r="AS492" s="20"/>
      <c r="AT492" s="87"/>
      <c r="AU492" s="87"/>
      <c r="AV492" s="87"/>
      <c r="AW492" s="87"/>
      <c r="AY492" s="20"/>
      <c r="AZ492" s="20"/>
      <c r="BA492" s="20"/>
      <c r="BB492" s="20"/>
      <c r="BC492" s="87"/>
      <c r="BD492" s="182"/>
      <c r="BE492" s="87"/>
      <c r="BF492" s="87"/>
      <c r="BM492" s="20"/>
    </row>
    <row r="493" ht="12.75" customHeight="1">
      <c r="A493" s="20"/>
      <c r="B493" s="239"/>
      <c r="AD493" s="24"/>
      <c r="AE493" s="25"/>
      <c r="AF493" s="26"/>
      <c r="AG493" s="24"/>
      <c r="AH493" s="25"/>
      <c r="AI493" s="27"/>
      <c r="AK493" s="28"/>
      <c r="AL493" s="29"/>
      <c r="AP493" s="20"/>
      <c r="AQ493" s="20"/>
      <c r="AR493" s="20"/>
      <c r="AS493" s="20"/>
      <c r="AT493" s="87"/>
      <c r="AU493" s="87"/>
      <c r="AV493" s="87"/>
      <c r="AW493" s="87"/>
      <c r="AY493" s="20"/>
      <c r="AZ493" s="20"/>
      <c r="BA493" s="20"/>
      <c r="BB493" s="20"/>
      <c r="BC493" s="87"/>
      <c r="BD493" s="182"/>
      <c r="BE493" s="87"/>
      <c r="BF493" s="87"/>
      <c r="BM493" s="20"/>
    </row>
    <row r="494" ht="12.75" customHeight="1">
      <c r="A494" s="20"/>
      <c r="B494" s="239"/>
      <c r="AD494" s="24"/>
      <c r="AE494" s="25"/>
      <c r="AF494" s="26"/>
      <c r="AG494" s="24"/>
      <c r="AH494" s="25"/>
      <c r="AI494" s="27"/>
      <c r="AK494" s="28"/>
      <c r="AL494" s="29"/>
      <c r="AP494" s="20"/>
      <c r="AQ494" s="20"/>
      <c r="AR494" s="20"/>
      <c r="AS494" s="20"/>
      <c r="AT494" s="87"/>
      <c r="AU494" s="87"/>
      <c r="AV494" s="87"/>
      <c r="AW494" s="87"/>
      <c r="AY494" s="20"/>
      <c r="AZ494" s="20"/>
      <c r="BA494" s="20"/>
      <c r="BB494" s="20"/>
      <c r="BC494" s="87"/>
      <c r="BD494" s="182"/>
      <c r="BE494" s="87"/>
      <c r="BF494" s="87"/>
      <c r="BM494" s="20"/>
    </row>
    <row r="495" ht="12.75" customHeight="1">
      <c r="A495" s="20"/>
      <c r="B495" s="239"/>
      <c r="AD495" s="24"/>
      <c r="AE495" s="25"/>
      <c r="AF495" s="26"/>
      <c r="AG495" s="24"/>
      <c r="AH495" s="25"/>
      <c r="AI495" s="27"/>
      <c r="AK495" s="28"/>
      <c r="AL495" s="29"/>
      <c r="AP495" s="20"/>
      <c r="AQ495" s="20"/>
      <c r="AR495" s="20"/>
      <c r="AS495" s="20"/>
      <c r="AT495" s="87"/>
      <c r="AU495" s="87"/>
      <c r="AV495" s="87"/>
      <c r="AW495" s="87"/>
      <c r="AY495" s="20"/>
      <c r="AZ495" s="20"/>
      <c r="BA495" s="20"/>
      <c r="BB495" s="20"/>
      <c r="BC495" s="87"/>
      <c r="BD495" s="182"/>
      <c r="BE495" s="87"/>
      <c r="BF495" s="87"/>
      <c r="BM495" s="20"/>
    </row>
    <row r="496" ht="12.75" customHeight="1">
      <c r="A496" s="20"/>
      <c r="B496" s="239"/>
      <c r="AD496" s="24"/>
      <c r="AE496" s="25"/>
      <c r="AF496" s="26"/>
      <c r="AG496" s="24"/>
      <c r="AH496" s="25"/>
      <c r="AI496" s="27"/>
      <c r="AK496" s="28"/>
      <c r="AL496" s="29"/>
      <c r="AP496" s="20"/>
      <c r="AQ496" s="20"/>
      <c r="AR496" s="20"/>
      <c r="AS496" s="20"/>
      <c r="AT496" s="87"/>
      <c r="AU496" s="87"/>
      <c r="AV496" s="87"/>
      <c r="AW496" s="87"/>
      <c r="AY496" s="20"/>
      <c r="AZ496" s="20"/>
      <c r="BA496" s="20"/>
      <c r="BB496" s="20"/>
      <c r="BC496" s="87"/>
      <c r="BD496" s="182"/>
      <c r="BE496" s="87"/>
      <c r="BF496" s="87"/>
      <c r="BM496" s="20"/>
    </row>
    <row r="497" ht="12.75" customHeight="1">
      <c r="A497" s="20"/>
      <c r="B497" s="239"/>
      <c r="AD497" s="24"/>
      <c r="AE497" s="25"/>
      <c r="AF497" s="26"/>
      <c r="AG497" s="24"/>
      <c r="AH497" s="25"/>
      <c r="AI497" s="27"/>
      <c r="AK497" s="28"/>
      <c r="AL497" s="29"/>
      <c r="AP497" s="20"/>
      <c r="AQ497" s="20"/>
      <c r="AR497" s="20"/>
      <c r="AS497" s="20"/>
      <c r="AT497" s="87"/>
      <c r="AU497" s="87"/>
      <c r="AV497" s="87"/>
      <c r="AW497" s="87"/>
      <c r="AY497" s="20"/>
      <c r="AZ497" s="20"/>
      <c r="BA497" s="20"/>
      <c r="BB497" s="20"/>
      <c r="BC497" s="87"/>
      <c r="BD497" s="182"/>
      <c r="BE497" s="87"/>
      <c r="BF497" s="87"/>
      <c r="BM497" s="20"/>
    </row>
    <row r="498" ht="12.75" customHeight="1">
      <c r="A498" s="20"/>
      <c r="B498" s="239"/>
      <c r="AD498" s="24"/>
      <c r="AE498" s="25"/>
      <c r="AF498" s="26"/>
      <c r="AG498" s="24"/>
      <c r="AH498" s="25"/>
      <c r="AI498" s="27"/>
      <c r="AK498" s="28"/>
      <c r="AL498" s="29"/>
      <c r="AP498" s="20"/>
      <c r="AQ498" s="20"/>
      <c r="AR498" s="20"/>
      <c r="AS498" s="20"/>
      <c r="AT498" s="87"/>
      <c r="AU498" s="87"/>
      <c r="AV498" s="87"/>
      <c r="AW498" s="87"/>
      <c r="AY498" s="20"/>
      <c r="AZ498" s="20"/>
      <c r="BA498" s="20"/>
      <c r="BB498" s="20"/>
      <c r="BC498" s="87"/>
      <c r="BD498" s="182"/>
      <c r="BE498" s="87"/>
      <c r="BF498" s="87"/>
      <c r="BM498" s="20"/>
    </row>
    <row r="499" ht="12.75" customHeight="1">
      <c r="A499" s="20"/>
      <c r="B499" s="239"/>
      <c r="AD499" s="24"/>
      <c r="AE499" s="25"/>
      <c r="AF499" s="26"/>
      <c r="AG499" s="24"/>
      <c r="AH499" s="25"/>
      <c r="AI499" s="27"/>
      <c r="AK499" s="28"/>
      <c r="AL499" s="29"/>
      <c r="AP499" s="20"/>
      <c r="AQ499" s="20"/>
      <c r="AR499" s="20"/>
      <c r="AS499" s="20"/>
      <c r="AT499" s="87"/>
      <c r="AU499" s="87"/>
      <c r="AV499" s="87"/>
      <c r="AW499" s="87"/>
      <c r="AY499" s="20"/>
      <c r="AZ499" s="20"/>
      <c r="BA499" s="20"/>
      <c r="BB499" s="20"/>
      <c r="BC499" s="87"/>
      <c r="BD499" s="182"/>
      <c r="BE499" s="87"/>
      <c r="BF499" s="87"/>
      <c r="BM499" s="20"/>
    </row>
    <row r="500" ht="12.75" customHeight="1">
      <c r="A500" s="20"/>
      <c r="B500" s="239"/>
      <c r="AD500" s="24"/>
      <c r="AE500" s="25"/>
      <c r="AF500" s="26"/>
      <c r="AG500" s="24"/>
      <c r="AH500" s="25"/>
      <c r="AI500" s="27"/>
      <c r="AK500" s="28"/>
      <c r="AL500" s="29"/>
      <c r="AP500" s="20"/>
      <c r="AQ500" s="20"/>
      <c r="AR500" s="20"/>
      <c r="AS500" s="20"/>
      <c r="AT500" s="87"/>
      <c r="AU500" s="87"/>
      <c r="AV500" s="87"/>
      <c r="AW500" s="87"/>
      <c r="AY500" s="20"/>
      <c r="AZ500" s="20"/>
      <c r="BA500" s="20"/>
      <c r="BB500" s="20"/>
      <c r="BC500" s="87"/>
      <c r="BD500" s="182"/>
      <c r="BE500" s="87"/>
      <c r="BF500" s="87"/>
      <c r="BM500" s="20"/>
    </row>
    <row r="501" ht="12.75" customHeight="1">
      <c r="A501" s="20"/>
      <c r="B501" s="239"/>
      <c r="AD501" s="24"/>
      <c r="AE501" s="25"/>
      <c r="AF501" s="26"/>
      <c r="AG501" s="24"/>
      <c r="AH501" s="25"/>
      <c r="AI501" s="27"/>
      <c r="AK501" s="28"/>
      <c r="AL501" s="29"/>
      <c r="AP501" s="20"/>
      <c r="AQ501" s="20"/>
      <c r="AR501" s="20"/>
      <c r="AS501" s="20"/>
      <c r="AT501" s="87"/>
      <c r="AU501" s="87"/>
      <c r="AV501" s="87"/>
      <c r="AW501" s="87"/>
      <c r="AY501" s="20"/>
      <c r="AZ501" s="20"/>
      <c r="BA501" s="20"/>
      <c r="BB501" s="20"/>
      <c r="BC501" s="87"/>
      <c r="BD501" s="182"/>
      <c r="BE501" s="87"/>
      <c r="BF501" s="87"/>
      <c r="BM501" s="20"/>
    </row>
    <row r="502" ht="12.75" customHeight="1">
      <c r="A502" s="20"/>
      <c r="B502" s="239"/>
      <c r="AD502" s="24"/>
      <c r="AE502" s="25"/>
      <c r="AF502" s="26"/>
      <c r="AG502" s="24"/>
      <c r="AH502" s="25"/>
      <c r="AI502" s="27"/>
      <c r="AK502" s="28"/>
      <c r="AL502" s="29"/>
      <c r="AP502" s="20"/>
      <c r="AQ502" s="20"/>
      <c r="AR502" s="20"/>
      <c r="AS502" s="20"/>
      <c r="AT502" s="87"/>
      <c r="AU502" s="87"/>
      <c r="AV502" s="87"/>
      <c r="AW502" s="87"/>
      <c r="AY502" s="20"/>
      <c r="AZ502" s="20"/>
      <c r="BA502" s="20"/>
      <c r="BB502" s="20"/>
      <c r="BC502" s="87"/>
      <c r="BD502" s="182"/>
      <c r="BE502" s="87"/>
      <c r="BF502" s="87"/>
      <c r="BM502" s="20"/>
    </row>
    <row r="503" ht="12.75" customHeight="1">
      <c r="A503" s="20"/>
      <c r="B503" s="239"/>
      <c r="AD503" s="24"/>
      <c r="AE503" s="25"/>
      <c r="AF503" s="26"/>
      <c r="AG503" s="24"/>
      <c r="AH503" s="25"/>
      <c r="AI503" s="27"/>
      <c r="AK503" s="28"/>
      <c r="AL503" s="29"/>
      <c r="AP503" s="20"/>
      <c r="AQ503" s="20"/>
      <c r="AR503" s="20"/>
      <c r="AS503" s="20"/>
      <c r="AT503" s="87"/>
      <c r="AU503" s="87"/>
      <c r="AV503" s="87"/>
      <c r="AW503" s="87"/>
      <c r="AY503" s="20"/>
      <c r="AZ503" s="20"/>
      <c r="BA503" s="20"/>
      <c r="BB503" s="20"/>
      <c r="BC503" s="87"/>
      <c r="BD503" s="182"/>
      <c r="BE503" s="87"/>
      <c r="BF503" s="87"/>
      <c r="BM503" s="20"/>
    </row>
    <row r="504" ht="12.75" customHeight="1">
      <c r="A504" s="20"/>
      <c r="B504" s="239"/>
      <c r="AD504" s="24"/>
      <c r="AE504" s="25"/>
      <c r="AF504" s="26"/>
      <c r="AG504" s="24"/>
      <c r="AH504" s="25"/>
      <c r="AI504" s="27"/>
      <c r="AK504" s="28"/>
      <c r="AL504" s="29"/>
      <c r="AP504" s="20"/>
      <c r="AQ504" s="20"/>
      <c r="AR504" s="20"/>
      <c r="AS504" s="20"/>
      <c r="AT504" s="87"/>
      <c r="AU504" s="87"/>
      <c r="AV504" s="87"/>
      <c r="AW504" s="87"/>
      <c r="AY504" s="20"/>
      <c r="AZ504" s="20"/>
      <c r="BA504" s="20"/>
      <c r="BB504" s="20"/>
      <c r="BC504" s="87"/>
      <c r="BD504" s="182"/>
      <c r="BE504" s="87"/>
      <c r="BF504" s="87"/>
      <c r="BM504" s="20"/>
    </row>
    <row r="505" ht="12.75" customHeight="1">
      <c r="A505" s="20"/>
      <c r="B505" s="239"/>
      <c r="AD505" s="24"/>
      <c r="AE505" s="25"/>
      <c r="AF505" s="26"/>
      <c r="AG505" s="24"/>
      <c r="AH505" s="25"/>
      <c r="AI505" s="27"/>
      <c r="AK505" s="28"/>
      <c r="AL505" s="29"/>
      <c r="AP505" s="20"/>
      <c r="AQ505" s="20"/>
      <c r="AR505" s="20"/>
      <c r="AS505" s="20"/>
      <c r="AT505" s="87"/>
      <c r="AU505" s="87"/>
      <c r="AV505" s="87"/>
      <c r="AW505" s="87"/>
      <c r="AY505" s="20"/>
      <c r="AZ505" s="20"/>
      <c r="BA505" s="20"/>
      <c r="BB505" s="20"/>
      <c r="BC505" s="87"/>
      <c r="BD505" s="182"/>
      <c r="BE505" s="87"/>
      <c r="BF505" s="87"/>
      <c r="BM505" s="20"/>
    </row>
    <row r="506" ht="12.75" customHeight="1">
      <c r="A506" s="20"/>
      <c r="B506" s="239"/>
      <c r="AD506" s="24"/>
      <c r="AE506" s="25"/>
      <c r="AF506" s="26"/>
      <c r="AG506" s="24"/>
      <c r="AH506" s="25"/>
      <c r="AI506" s="27"/>
      <c r="AK506" s="28"/>
      <c r="AL506" s="29"/>
      <c r="AP506" s="20"/>
      <c r="AQ506" s="20"/>
      <c r="AR506" s="20"/>
      <c r="AS506" s="20"/>
      <c r="AT506" s="87"/>
      <c r="AU506" s="87"/>
      <c r="AV506" s="87"/>
      <c r="AW506" s="87"/>
      <c r="AY506" s="20"/>
      <c r="AZ506" s="20"/>
      <c r="BA506" s="20"/>
      <c r="BB506" s="20"/>
      <c r="BC506" s="87"/>
      <c r="BD506" s="182"/>
      <c r="BE506" s="87"/>
      <c r="BF506" s="87"/>
      <c r="BM506" s="20"/>
    </row>
    <row r="507" ht="12.75" customHeight="1">
      <c r="A507" s="20"/>
      <c r="B507" s="239"/>
      <c r="AD507" s="24"/>
      <c r="AE507" s="25"/>
      <c r="AF507" s="26"/>
      <c r="AG507" s="24"/>
      <c r="AH507" s="25"/>
      <c r="AI507" s="27"/>
      <c r="AK507" s="28"/>
      <c r="AL507" s="29"/>
      <c r="AP507" s="20"/>
      <c r="AQ507" s="20"/>
      <c r="AR507" s="20"/>
      <c r="AS507" s="20"/>
      <c r="AT507" s="87"/>
      <c r="AU507" s="87"/>
      <c r="AV507" s="87"/>
      <c r="AW507" s="87"/>
      <c r="AY507" s="20"/>
      <c r="AZ507" s="20"/>
      <c r="BA507" s="20"/>
      <c r="BB507" s="20"/>
      <c r="BC507" s="87"/>
      <c r="BD507" s="182"/>
      <c r="BE507" s="87"/>
      <c r="BF507" s="87"/>
      <c r="BM507" s="20"/>
    </row>
    <row r="508" ht="12.75" customHeight="1">
      <c r="A508" s="20"/>
      <c r="B508" s="239"/>
      <c r="AD508" s="24"/>
      <c r="AE508" s="25"/>
      <c r="AF508" s="26"/>
      <c r="AG508" s="24"/>
      <c r="AH508" s="25"/>
      <c r="AI508" s="27"/>
      <c r="AK508" s="28"/>
      <c r="AL508" s="29"/>
      <c r="AP508" s="20"/>
      <c r="AQ508" s="20"/>
      <c r="AR508" s="20"/>
      <c r="AS508" s="20"/>
      <c r="AT508" s="87"/>
      <c r="AU508" s="87"/>
      <c r="AV508" s="87"/>
      <c r="AW508" s="87"/>
      <c r="AY508" s="20"/>
      <c r="AZ508" s="20"/>
      <c r="BA508" s="20"/>
      <c r="BB508" s="20"/>
      <c r="BC508" s="87"/>
      <c r="BD508" s="182"/>
      <c r="BE508" s="87"/>
      <c r="BF508" s="87"/>
      <c r="BM508" s="20"/>
    </row>
    <row r="509" ht="12.75" customHeight="1">
      <c r="A509" s="20"/>
      <c r="B509" s="239"/>
      <c r="AD509" s="24"/>
      <c r="AE509" s="25"/>
      <c r="AF509" s="26"/>
      <c r="AG509" s="24"/>
      <c r="AH509" s="25"/>
      <c r="AI509" s="27"/>
      <c r="AK509" s="28"/>
      <c r="AL509" s="29"/>
      <c r="AP509" s="20"/>
      <c r="AQ509" s="20"/>
      <c r="AR509" s="20"/>
      <c r="AS509" s="20"/>
      <c r="AT509" s="87"/>
      <c r="AU509" s="87"/>
      <c r="AV509" s="87"/>
      <c r="AW509" s="87"/>
      <c r="AY509" s="20"/>
      <c r="AZ509" s="20"/>
      <c r="BA509" s="20"/>
      <c r="BB509" s="20"/>
      <c r="BC509" s="87"/>
      <c r="BD509" s="182"/>
      <c r="BE509" s="87"/>
      <c r="BF509" s="87"/>
      <c r="BM509" s="20"/>
    </row>
    <row r="510" ht="12.75" customHeight="1">
      <c r="A510" s="20"/>
      <c r="B510" s="239"/>
      <c r="AD510" s="24"/>
      <c r="AE510" s="25"/>
      <c r="AF510" s="26"/>
      <c r="AG510" s="24"/>
      <c r="AH510" s="25"/>
      <c r="AI510" s="27"/>
      <c r="AK510" s="28"/>
      <c r="AL510" s="29"/>
      <c r="AP510" s="20"/>
      <c r="AQ510" s="20"/>
      <c r="AR510" s="20"/>
      <c r="AS510" s="20"/>
      <c r="AT510" s="87"/>
      <c r="AU510" s="87"/>
      <c r="AV510" s="87"/>
      <c r="AW510" s="87"/>
      <c r="AY510" s="20"/>
      <c r="AZ510" s="20"/>
      <c r="BA510" s="20"/>
      <c r="BB510" s="20"/>
      <c r="BC510" s="87"/>
      <c r="BD510" s="182"/>
      <c r="BE510" s="87"/>
      <c r="BF510" s="87"/>
      <c r="BM510" s="20"/>
    </row>
    <row r="511" ht="12.75" customHeight="1">
      <c r="A511" s="20"/>
      <c r="B511" s="239"/>
      <c r="AD511" s="24"/>
      <c r="AE511" s="25"/>
      <c r="AF511" s="26"/>
      <c r="AG511" s="24"/>
      <c r="AH511" s="25"/>
      <c r="AI511" s="27"/>
      <c r="AK511" s="28"/>
      <c r="AL511" s="29"/>
      <c r="AP511" s="20"/>
      <c r="AQ511" s="20"/>
      <c r="AR511" s="20"/>
      <c r="AS511" s="20"/>
      <c r="AT511" s="87"/>
      <c r="AU511" s="87"/>
      <c r="AV511" s="87"/>
      <c r="AW511" s="87"/>
      <c r="AY511" s="20"/>
      <c r="AZ511" s="20"/>
      <c r="BA511" s="20"/>
      <c r="BB511" s="20"/>
      <c r="BC511" s="87"/>
      <c r="BD511" s="182"/>
      <c r="BE511" s="87"/>
      <c r="BF511" s="87"/>
      <c r="BM511" s="20"/>
    </row>
    <row r="512" ht="12.75" customHeight="1">
      <c r="A512" s="20"/>
      <c r="B512" s="239"/>
      <c r="AD512" s="24"/>
      <c r="AE512" s="25"/>
      <c r="AF512" s="26"/>
      <c r="AG512" s="24"/>
      <c r="AH512" s="25"/>
      <c r="AI512" s="27"/>
      <c r="AK512" s="28"/>
      <c r="AL512" s="29"/>
      <c r="AP512" s="20"/>
      <c r="AQ512" s="20"/>
      <c r="AR512" s="20"/>
      <c r="AS512" s="20"/>
      <c r="AT512" s="87"/>
      <c r="AU512" s="87"/>
      <c r="AV512" s="87"/>
      <c r="AW512" s="87"/>
      <c r="AY512" s="20"/>
      <c r="AZ512" s="20"/>
      <c r="BA512" s="20"/>
      <c r="BB512" s="20"/>
      <c r="BC512" s="87"/>
      <c r="BD512" s="182"/>
      <c r="BE512" s="87"/>
      <c r="BF512" s="87"/>
      <c r="BM512" s="20"/>
    </row>
    <row r="513" ht="12.75" customHeight="1">
      <c r="A513" s="20"/>
      <c r="B513" s="239"/>
      <c r="AD513" s="24"/>
      <c r="AE513" s="25"/>
      <c r="AF513" s="26"/>
      <c r="AG513" s="24"/>
      <c r="AH513" s="25"/>
      <c r="AI513" s="27"/>
      <c r="AK513" s="28"/>
      <c r="AL513" s="29"/>
      <c r="AP513" s="20"/>
      <c r="AQ513" s="20"/>
      <c r="AR513" s="20"/>
      <c r="AS513" s="20"/>
      <c r="AT513" s="87"/>
      <c r="AU513" s="87"/>
      <c r="AV513" s="87"/>
      <c r="AW513" s="87"/>
      <c r="AY513" s="20"/>
      <c r="AZ513" s="20"/>
      <c r="BA513" s="20"/>
      <c r="BB513" s="20"/>
      <c r="BC513" s="87"/>
      <c r="BD513" s="182"/>
      <c r="BE513" s="87"/>
      <c r="BF513" s="87"/>
      <c r="BM513" s="20"/>
    </row>
    <row r="514" ht="12.75" customHeight="1">
      <c r="A514" s="20"/>
      <c r="B514" s="239"/>
      <c r="AD514" s="24"/>
      <c r="AE514" s="25"/>
      <c r="AF514" s="26"/>
      <c r="AG514" s="24"/>
      <c r="AH514" s="25"/>
      <c r="AI514" s="27"/>
      <c r="AK514" s="28"/>
      <c r="AL514" s="29"/>
      <c r="AP514" s="20"/>
      <c r="AQ514" s="20"/>
      <c r="AR514" s="20"/>
      <c r="AS514" s="20"/>
      <c r="AT514" s="87"/>
      <c r="AU514" s="87"/>
      <c r="AV514" s="87"/>
      <c r="AW514" s="87"/>
      <c r="AY514" s="20"/>
      <c r="AZ514" s="20"/>
      <c r="BA514" s="20"/>
      <c r="BB514" s="20"/>
      <c r="BC514" s="87"/>
      <c r="BD514" s="182"/>
      <c r="BE514" s="87"/>
      <c r="BF514" s="87"/>
      <c r="BM514" s="20"/>
    </row>
    <row r="515" ht="12.75" customHeight="1">
      <c r="A515" s="20"/>
      <c r="B515" s="239"/>
      <c r="AD515" s="24"/>
      <c r="AE515" s="25"/>
      <c r="AF515" s="26"/>
      <c r="AG515" s="24"/>
      <c r="AH515" s="25"/>
      <c r="AI515" s="27"/>
      <c r="AK515" s="28"/>
      <c r="AL515" s="29"/>
      <c r="AP515" s="20"/>
      <c r="AQ515" s="20"/>
      <c r="AR515" s="20"/>
      <c r="AS515" s="20"/>
      <c r="AT515" s="87"/>
      <c r="AU515" s="87"/>
      <c r="AV515" s="87"/>
      <c r="AW515" s="87"/>
      <c r="AY515" s="20"/>
      <c r="AZ515" s="20"/>
      <c r="BA515" s="20"/>
      <c r="BB515" s="20"/>
      <c r="BC515" s="87"/>
      <c r="BD515" s="182"/>
      <c r="BE515" s="87"/>
      <c r="BF515" s="87"/>
      <c r="BM515" s="20"/>
    </row>
    <row r="516" ht="12.75" customHeight="1">
      <c r="A516" s="20"/>
      <c r="B516" s="239"/>
      <c r="AD516" s="24"/>
      <c r="AE516" s="25"/>
      <c r="AF516" s="26"/>
      <c r="AG516" s="24"/>
      <c r="AH516" s="25"/>
      <c r="AI516" s="27"/>
      <c r="AK516" s="28"/>
      <c r="AL516" s="29"/>
      <c r="AP516" s="20"/>
      <c r="AQ516" s="20"/>
      <c r="AR516" s="20"/>
      <c r="AS516" s="20"/>
      <c r="AT516" s="87"/>
      <c r="AU516" s="87"/>
      <c r="AV516" s="87"/>
      <c r="AW516" s="87"/>
      <c r="AY516" s="20"/>
      <c r="AZ516" s="20"/>
      <c r="BA516" s="20"/>
      <c r="BB516" s="20"/>
      <c r="BC516" s="87"/>
      <c r="BD516" s="182"/>
      <c r="BE516" s="87"/>
      <c r="BF516" s="87"/>
      <c r="BM516" s="20"/>
    </row>
    <row r="517" ht="12.75" customHeight="1">
      <c r="A517" s="20"/>
      <c r="B517" s="239"/>
      <c r="AD517" s="24"/>
      <c r="AE517" s="25"/>
      <c r="AF517" s="26"/>
      <c r="AG517" s="24"/>
      <c r="AH517" s="25"/>
      <c r="AI517" s="27"/>
      <c r="AK517" s="28"/>
      <c r="AL517" s="29"/>
      <c r="AP517" s="20"/>
      <c r="AQ517" s="20"/>
      <c r="AR517" s="20"/>
      <c r="AS517" s="20"/>
      <c r="AT517" s="87"/>
      <c r="AU517" s="87"/>
      <c r="AV517" s="87"/>
      <c r="AW517" s="87"/>
      <c r="AY517" s="20"/>
      <c r="AZ517" s="20"/>
      <c r="BA517" s="20"/>
      <c r="BB517" s="20"/>
      <c r="BC517" s="87"/>
      <c r="BD517" s="182"/>
      <c r="BE517" s="87"/>
      <c r="BF517" s="87"/>
      <c r="BM517" s="20"/>
    </row>
    <row r="518" ht="12.75" customHeight="1">
      <c r="A518" s="20"/>
      <c r="B518" s="239"/>
      <c r="AD518" s="24"/>
      <c r="AE518" s="25"/>
      <c r="AF518" s="26"/>
      <c r="AG518" s="24"/>
      <c r="AH518" s="25"/>
      <c r="AI518" s="27"/>
      <c r="AK518" s="28"/>
      <c r="AL518" s="29"/>
      <c r="AP518" s="20"/>
      <c r="AQ518" s="20"/>
      <c r="AR518" s="20"/>
      <c r="AS518" s="20"/>
      <c r="AT518" s="87"/>
      <c r="AU518" s="87"/>
      <c r="AV518" s="87"/>
      <c r="AW518" s="87"/>
      <c r="AY518" s="20"/>
      <c r="AZ518" s="20"/>
      <c r="BA518" s="20"/>
      <c r="BB518" s="20"/>
      <c r="BC518" s="87"/>
      <c r="BD518" s="182"/>
      <c r="BE518" s="87"/>
      <c r="BF518" s="87"/>
      <c r="BM518" s="20"/>
    </row>
    <row r="519" ht="12.75" customHeight="1">
      <c r="A519" s="20"/>
      <c r="B519" s="239"/>
      <c r="AD519" s="24"/>
      <c r="AE519" s="25"/>
      <c r="AF519" s="26"/>
      <c r="AG519" s="24"/>
      <c r="AH519" s="25"/>
      <c r="AI519" s="27"/>
      <c r="AK519" s="28"/>
      <c r="AL519" s="29"/>
      <c r="AP519" s="20"/>
      <c r="AQ519" s="20"/>
      <c r="AR519" s="20"/>
      <c r="AS519" s="20"/>
      <c r="AT519" s="87"/>
      <c r="AU519" s="87"/>
      <c r="AV519" s="87"/>
      <c r="AW519" s="87"/>
      <c r="AY519" s="20"/>
      <c r="AZ519" s="20"/>
      <c r="BA519" s="20"/>
      <c r="BB519" s="20"/>
      <c r="BC519" s="87"/>
      <c r="BD519" s="182"/>
      <c r="BE519" s="87"/>
      <c r="BF519" s="87"/>
      <c r="BM519" s="20"/>
    </row>
    <row r="520" ht="12.75" customHeight="1">
      <c r="A520" s="20"/>
      <c r="B520" s="239"/>
      <c r="AD520" s="24"/>
      <c r="AE520" s="25"/>
      <c r="AF520" s="26"/>
      <c r="AG520" s="24"/>
      <c r="AH520" s="25"/>
      <c r="AI520" s="27"/>
      <c r="AK520" s="28"/>
      <c r="AL520" s="29"/>
      <c r="AP520" s="20"/>
      <c r="AQ520" s="20"/>
      <c r="AR520" s="20"/>
      <c r="AS520" s="20"/>
      <c r="AT520" s="87"/>
      <c r="AU520" s="87"/>
      <c r="AV520" s="87"/>
      <c r="AW520" s="87"/>
      <c r="AY520" s="20"/>
      <c r="AZ520" s="20"/>
      <c r="BA520" s="20"/>
      <c r="BB520" s="20"/>
      <c r="BC520" s="87"/>
      <c r="BD520" s="182"/>
      <c r="BE520" s="87"/>
      <c r="BF520" s="87"/>
      <c r="BM520" s="20"/>
    </row>
    <row r="521" ht="12.75" customHeight="1">
      <c r="A521" s="20"/>
      <c r="B521" s="239"/>
      <c r="AD521" s="24"/>
      <c r="AE521" s="25"/>
      <c r="AF521" s="26"/>
      <c r="AG521" s="24"/>
      <c r="AH521" s="25"/>
      <c r="AI521" s="27"/>
      <c r="AK521" s="28"/>
      <c r="AL521" s="29"/>
      <c r="AP521" s="20"/>
      <c r="AQ521" s="20"/>
      <c r="AR521" s="20"/>
      <c r="AS521" s="20"/>
      <c r="AT521" s="87"/>
      <c r="AU521" s="87"/>
      <c r="AV521" s="87"/>
      <c r="AW521" s="87"/>
      <c r="AY521" s="20"/>
      <c r="AZ521" s="20"/>
      <c r="BA521" s="20"/>
      <c r="BB521" s="20"/>
      <c r="BC521" s="87"/>
      <c r="BD521" s="182"/>
      <c r="BE521" s="87"/>
      <c r="BF521" s="87"/>
      <c r="BM521" s="20"/>
    </row>
    <row r="522" ht="12.75" customHeight="1">
      <c r="A522" s="20"/>
      <c r="B522" s="239"/>
      <c r="AD522" s="24"/>
      <c r="AE522" s="25"/>
      <c r="AF522" s="26"/>
      <c r="AG522" s="24"/>
      <c r="AH522" s="25"/>
      <c r="AI522" s="27"/>
      <c r="AK522" s="28"/>
      <c r="AL522" s="29"/>
      <c r="AP522" s="20"/>
      <c r="AQ522" s="20"/>
      <c r="AR522" s="20"/>
      <c r="AS522" s="20"/>
      <c r="AT522" s="87"/>
      <c r="AU522" s="87"/>
      <c r="AV522" s="87"/>
      <c r="AW522" s="87"/>
      <c r="AY522" s="20"/>
      <c r="AZ522" s="20"/>
      <c r="BA522" s="20"/>
      <c r="BB522" s="20"/>
      <c r="BC522" s="87"/>
      <c r="BD522" s="182"/>
      <c r="BE522" s="87"/>
      <c r="BF522" s="87"/>
      <c r="BM522" s="20"/>
    </row>
    <row r="523" ht="12.75" customHeight="1">
      <c r="A523" s="20"/>
      <c r="B523" s="239"/>
      <c r="AD523" s="24"/>
      <c r="AE523" s="25"/>
      <c r="AF523" s="26"/>
      <c r="AG523" s="24"/>
      <c r="AH523" s="25"/>
      <c r="AI523" s="27"/>
      <c r="AK523" s="28"/>
      <c r="AL523" s="29"/>
      <c r="AP523" s="20"/>
      <c r="AQ523" s="20"/>
      <c r="AR523" s="20"/>
      <c r="AS523" s="20"/>
      <c r="AT523" s="87"/>
      <c r="AU523" s="87"/>
      <c r="AV523" s="87"/>
      <c r="AW523" s="87"/>
      <c r="AY523" s="20"/>
      <c r="AZ523" s="20"/>
      <c r="BA523" s="20"/>
      <c r="BB523" s="20"/>
      <c r="BC523" s="87"/>
      <c r="BD523" s="182"/>
      <c r="BE523" s="87"/>
      <c r="BF523" s="87"/>
      <c r="BM523" s="20"/>
    </row>
    <row r="524" ht="12.75" customHeight="1">
      <c r="A524" s="20"/>
      <c r="B524" s="239"/>
      <c r="AD524" s="24"/>
      <c r="AE524" s="25"/>
      <c r="AF524" s="26"/>
      <c r="AG524" s="24"/>
      <c r="AH524" s="25"/>
      <c r="AI524" s="27"/>
      <c r="AK524" s="28"/>
      <c r="AL524" s="29"/>
      <c r="AP524" s="20"/>
      <c r="AQ524" s="20"/>
      <c r="AR524" s="20"/>
      <c r="AS524" s="20"/>
      <c r="AT524" s="87"/>
      <c r="AU524" s="87"/>
      <c r="AV524" s="87"/>
      <c r="AW524" s="87"/>
      <c r="AY524" s="20"/>
      <c r="AZ524" s="20"/>
      <c r="BA524" s="20"/>
      <c r="BB524" s="20"/>
      <c r="BC524" s="87"/>
      <c r="BD524" s="182"/>
      <c r="BE524" s="87"/>
      <c r="BF524" s="87"/>
      <c r="BM524" s="20"/>
    </row>
    <row r="525" ht="12.75" customHeight="1">
      <c r="A525" s="20"/>
      <c r="B525" s="239"/>
      <c r="AD525" s="24"/>
      <c r="AE525" s="25"/>
      <c r="AF525" s="26"/>
      <c r="AG525" s="24"/>
      <c r="AH525" s="25"/>
      <c r="AI525" s="27"/>
      <c r="AK525" s="28"/>
      <c r="AL525" s="29"/>
      <c r="AP525" s="20"/>
      <c r="AQ525" s="20"/>
      <c r="AR525" s="20"/>
      <c r="AS525" s="20"/>
      <c r="AT525" s="87"/>
      <c r="AU525" s="87"/>
      <c r="AV525" s="87"/>
      <c r="AW525" s="87"/>
      <c r="AY525" s="20"/>
      <c r="AZ525" s="20"/>
      <c r="BA525" s="20"/>
      <c r="BB525" s="20"/>
      <c r="BC525" s="87"/>
      <c r="BD525" s="182"/>
      <c r="BE525" s="87"/>
      <c r="BF525" s="87"/>
      <c r="BM525" s="20"/>
    </row>
    <row r="526" ht="12.75" customHeight="1">
      <c r="A526" s="20"/>
      <c r="B526" s="239"/>
      <c r="AD526" s="24"/>
      <c r="AE526" s="25"/>
      <c r="AF526" s="26"/>
      <c r="AG526" s="24"/>
      <c r="AH526" s="25"/>
      <c r="AI526" s="27"/>
      <c r="AK526" s="28"/>
      <c r="AL526" s="29"/>
      <c r="AP526" s="20"/>
      <c r="AQ526" s="20"/>
      <c r="AR526" s="20"/>
      <c r="AS526" s="20"/>
      <c r="AT526" s="87"/>
      <c r="AU526" s="87"/>
      <c r="AV526" s="87"/>
      <c r="AW526" s="87"/>
      <c r="AY526" s="20"/>
      <c r="AZ526" s="20"/>
      <c r="BA526" s="20"/>
      <c r="BB526" s="20"/>
      <c r="BC526" s="87"/>
      <c r="BD526" s="182"/>
      <c r="BE526" s="87"/>
      <c r="BF526" s="87"/>
      <c r="BM526" s="20"/>
    </row>
    <row r="527" ht="12.75" customHeight="1">
      <c r="A527" s="20"/>
      <c r="B527" s="239"/>
      <c r="AD527" s="24"/>
      <c r="AE527" s="25"/>
      <c r="AF527" s="26"/>
      <c r="AG527" s="24"/>
      <c r="AH527" s="25"/>
      <c r="AI527" s="27"/>
      <c r="AK527" s="28"/>
      <c r="AL527" s="29"/>
      <c r="AP527" s="20"/>
      <c r="AQ527" s="20"/>
      <c r="AR527" s="20"/>
      <c r="AS527" s="20"/>
      <c r="AT527" s="87"/>
      <c r="AU527" s="87"/>
      <c r="AV527" s="87"/>
      <c r="AW527" s="87"/>
      <c r="AY527" s="20"/>
      <c r="AZ527" s="20"/>
      <c r="BA527" s="20"/>
      <c r="BB527" s="20"/>
      <c r="BC527" s="87"/>
      <c r="BD527" s="182"/>
      <c r="BE527" s="87"/>
      <c r="BF527" s="87"/>
      <c r="BM527" s="20"/>
    </row>
    <row r="528" ht="12.75" customHeight="1">
      <c r="A528" s="20"/>
      <c r="B528" s="239"/>
      <c r="AD528" s="24"/>
      <c r="AE528" s="25"/>
      <c r="AF528" s="26"/>
      <c r="AG528" s="24"/>
      <c r="AH528" s="25"/>
      <c r="AI528" s="27"/>
      <c r="AK528" s="28"/>
      <c r="AL528" s="29"/>
      <c r="AP528" s="20"/>
      <c r="AQ528" s="20"/>
      <c r="AR528" s="20"/>
      <c r="AS528" s="20"/>
      <c r="AT528" s="87"/>
      <c r="AU528" s="87"/>
      <c r="AV528" s="87"/>
      <c r="AW528" s="87"/>
      <c r="AY528" s="20"/>
      <c r="AZ528" s="20"/>
      <c r="BA528" s="20"/>
      <c r="BB528" s="20"/>
      <c r="BC528" s="87"/>
      <c r="BD528" s="182"/>
      <c r="BE528" s="87"/>
      <c r="BF528" s="87"/>
      <c r="BM528" s="20"/>
    </row>
    <row r="529" ht="12.75" customHeight="1">
      <c r="A529" s="20"/>
      <c r="B529" s="239"/>
      <c r="AD529" s="24"/>
      <c r="AE529" s="25"/>
      <c r="AF529" s="26"/>
      <c r="AG529" s="24"/>
      <c r="AH529" s="25"/>
      <c r="AI529" s="27"/>
      <c r="AK529" s="28"/>
      <c r="AL529" s="29"/>
      <c r="AP529" s="20"/>
      <c r="AQ529" s="20"/>
      <c r="AR529" s="20"/>
      <c r="AS529" s="20"/>
      <c r="AT529" s="87"/>
      <c r="AU529" s="87"/>
      <c r="AV529" s="87"/>
      <c r="AW529" s="87"/>
      <c r="AY529" s="20"/>
      <c r="AZ529" s="20"/>
      <c r="BA529" s="20"/>
      <c r="BB529" s="20"/>
      <c r="BC529" s="87"/>
      <c r="BD529" s="182"/>
      <c r="BE529" s="87"/>
      <c r="BF529" s="87"/>
      <c r="BM529" s="20"/>
    </row>
    <row r="530" ht="12.75" customHeight="1">
      <c r="A530" s="20"/>
      <c r="B530" s="239"/>
      <c r="AD530" s="24"/>
      <c r="AE530" s="25"/>
      <c r="AF530" s="26"/>
      <c r="AG530" s="24"/>
      <c r="AH530" s="25"/>
      <c r="AI530" s="27"/>
      <c r="AK530" s="28"/>
      <c r="AL530" s="29"/>
      <c r="AP530" s="20"/>
      <c r="AQ530" s="20"/>
      <c r="AR530" s="20"/>
      <c r="AS530" s="20"/>
      <c r="AT530" s="87"/>
      <c r="AU530" s="87"/>
      <c r="AV530" s="87"/>
      <c r="AW530" s="87"/>
      <c r="AY530" s="20"/>
      <c r="AZ530" s="20"/>
      <c r="BA530" s="20"/>
      <c r="BB530" s="20"/>
      <c r="BC530" s="87"/>
      <c r="BD530" s="182"/>
      <c r="BE530" s="87"/>
      <c r="BF530" s="87"/>
      <c r="BM530" s="20"/>
    </row>
    <row r="531" ht="12.75" customHeight="1">
      <c r="A531" s="20"/>
      <c r="B531" s="239"/>
      <c r="AD531" s="24"/>
      <c r="AE531" s="25"/>
      <c r="AF531" s="26"/>
      <c r="AG531" s="24"/>
      <c r="AH531" s="25"/>
      <c r="AI531" s="27"/>
      <c r="AK531" s="28"/>
      <c r="AL531" s="29"/>
      <c r="AP531" s="20"/>
      <c r="AQ531" s="20"/>
      <c r="AR531" s="20"/>
      <c r="AS531" s="20"/>
      <c r="AT531" s="87"/>
      <c r="AU531" s="87"/>
      <c r="AV531" s="87"/>
      <c r="AW531" s="87"/>
      <c r="AY531" s="20"/>
      <c r="AZ531" s="20"/>
      <c r="BA531" s="20"/>
      <c r="BB531" s="20"/>
      <c r="BC531" s="87"/>
      <c r="BD531" s="182"/>
      <c r="BE531" s="87"/>
      <c r="BF531" s="87"/>
      <c r="BM531" s="20"/>
    </row>
    <row r="532" ht="12.75" customHeight="1">
      <c r="A532" s="20"/>
      <c r="B532" s="239"/>
      <c r="AD532" s="24"/>
      <c r="AE532" s="25"/>
      <c r="AF532" s="26"/>
      <c r="AG532" s="24"/>
      <c r="AH532" s="25"/>
      <c r="AI532" s="27"/>
      <c r="AK532" s="28"/>
      <c r="AL532" s="29"/>
      <c r="AP532" s="20"/>
      <c r="AQ532" s="20"/>
      <c r="AR532" s="20"/>
      <c r="AS532" s="20"/>
      <c r="AT532" s="87"/>
      <c r="AU532" s="87"/>
      <c r="AV532" s="87"/>
      <c r="AW532" s="87"/>
      <c r="AY532" s="20"/>
      <c r="AZ532" s="20"/>
      <c r="BA532" s="20"/>
      <c r="BB532" s="20"/>
      <c r="BC532" s="87"/>
      <c r="BD532" s="182"/>
      <c r="BE532" s="87"/>
      <c r="BF532" s="87"/>
      <c r="BM532" s="20"/>
    </row>
    <row r="533" ht="12.75" customHeight="1">
      <c r="A533" s="20"/>
      <c r="B533" s="239"/>
      <c r="AD533" s="24"/>
      <c r="AE533" s="25"/>
      <c r="AF533" s="26"/>
      <c r="AG533" s="24"/>
      <c r="AH533" s="25"/>
      <c r="AI533" s="27"/>
      <c r="AK533" s="28"/>
      <c r="AL533" s="29"/>
      <c r="AP533" s="20"/>
      <c r="AQ533" s="20"/>
      <c r="AR533" s="20"/>
      <c r="AS533" s="20"/>
      <c r="AT533" s="87"/>
      <c r="AU533" s="87"/>
      <c r="AV533" s="87"/>
      <c r="AW533" s="87"/>
      <c r="AY533" s="20"/>
      <c r="AZ533" s="20"/>
      <c r="BA533" s="20"/>
      <c r="BB533" s="20"/>
      <c r="BC533" s="87"/>
      <c r="BD533" s="182"/>
      <c r="BE533" s="87"/>
      <c r="BF533" s="87"/>
      <c r="BM533" s="20"/>
    </row>
    <row r="534" ht="12.75" customHeight="1">
      <c r="A534" s="20"/>
      <c r="B534" s="239"/>
      <c r="AD534" s="24"/>
      <c r="AE534" s="25"/>
      <c r="AF534" s="26"/>
      <c r="AG534" s="24"/>
      <c r="AH534" s="25"/>
      <c r="AI534" s="27"/>
      <c r="AK534" s="28"/>
      <c r="AL534" s="29"/>
      <c r="AP534" s="20"/>
      <c r="AQ534" s="20"/>
      <c r="AR534" s="20"/>
      <c r="AS534" s="20"/>
      <c r="AT534" s="87"/>
      <c r="AU534" s="87"/>
      <c r="AV534" s="87"/>
      <c r="AW534" s="87"/>
      <c r="AY534" s="20"/>
      <c r="AZ534" s="20"/>
      <c r="BA534" s="20"/>
      <c r="BB534" s="20"/>
      <c r="BC534" s="87"/>
      <c r="BD534" s="182"/>
      <c r="BE534" s="87"/>
      <c r="BF534" s="87"/>
      <c r="BM534" s="20"/>
    </row>
    <row r="535" ht="12.75" customHeight="1">
      <c r="A535" s="20"/>
      <c r="B535" s="239"/>
      <c r="AD535" s="24"/>
      <c r="AE535" s="25"/>
      <c r="AF535" s="26"/>
      <c r="AG535" s="24"/>
      <c r="AH535" s="25"/>
      <c r="AI535" s="27"/>
      <c r="AK535" s="28"/>
      <c r="AL535" s="29"/>
      <c r="AP535" s="20"/>
      <c r="AQ535" s="20"/>
      <c r="AR535" s="20"/>
      <c r="AS535" s="20"/>
      <c r="AT535" s="87"/>
      <c r="AU535" s="87"/>
      <c r="AV535" s="87"/>
      <c r="AW535" s="87"/>
      <c r="AY535" s="20"/>
      <c r="AZ535" s="20"/>
      <c r="BA535" s="20"/>
      <c r="BB535" s="20"/>
      <c r="BC535" s="87"/>
      <c r="BD535" s="182"/>
      <c r="BE535" s="87"/>
      <c r="BF535" s="87"/>
      <c r="BM535" s="20"/>
    </row>
    <row r="536" ht="12.75" customHeight="1">
      <c r="A536" s="20"/>
      <c r="B536" s="239"/>
      <c r="AD536" s="24"/>
      <c r="AE536" s="25"/>
      <c r="AF536" s="26"/>
      <c r="AG536" s="24"/>
      <c r="AH536" s="25"/>
      <c r="AI536" s="27"/>
      <c r="AK536" s="28"/>
      <c r="AL536" s="29"/>
      <c r="AP536" s="20"/>
      <c r="AQ536" s="20"/>
      <c r="AR536" s="20"/>
      <c r="AS536" s="20"/>
      <c r="AT536" s="87"/>
      <c r="AU536" s="87"/>
      <c r="AV536" s="87"/>
      <c r="AW536" s="87"/>
      <c r="AY536" s="20"/>
      <c r="AZ536" s="20"/>
      <c r="BA536" s="20"/>
      <c r="BB536" s="20"/>
      <c r="BC536" s="87"/>
      <c r="BD536" s="182"/>
      <c r="BE536" s="87"/>
      <c r="BF536" s="87"/>
      <c r="BM536" s="20"/>
    </row>
    <row r="537" ht="12.75" customHeight="1">
      <c r="A537" s="20"/>
      <c r="B537" s="239"/>
      <c r="AD537" s="24"/>
      <c r="AE537" s="25"/>
      <c r="AF537" s="26"/>
      <c r="AG537" s="24"/>
      <c r="AH537" s="25"/>
      <c r="AI537" s="27"/>
      <c r="AK537" s="28"/>
      <c r="AL537" s="29"/>
      <c r="AP537" s="20"/>
      <c r="AQ537" s="20"/>
      <c r="AR537" s="20"/>
      <c r="AS537" s="20"/>
      <c r="AT537" s="87"/>
      <c r="AU537" s="87"/>
      <c r="AV537" s="87"/>
      <c r="AW537" s="87"/>
      <c r="AY537" s="20"/>
      <c r="AZ537" s="20"/>
      <c r="BA537" s="20"/>
      <c r="BB537" s="20"/>
      <c r="BC537" s="87"/>
      <c r="BD537" s="182"/>
      <c r="BE537" s="87"/>
      <c r="BF537" s="87"/>
      <c r="BM537" s="20"/>
    </row>
    <row r="538" ht="12.75" customHeight="1">
      <c r="A538" s="20"/>
      <c r="B538" s="239"/>
      <c r="AD538" s="24"/>
      <c r="AE538" s="25"/>
      <c r="AF538" s="26"/>
      <c r="AG538" s="24"/>
      <c r="AH538" s="25"/>
      <c r="AI538" s="27"/>
      <c r="AK538" s="28"/>
      <c r="AL538" s="29"/>
      <c r="AP538" s="20"/>
      <c r="AQ538" s="20"/>
      <c r="AR538" s="20"/>
      <c r="AS538" s="20"/>
      <c r="AT538" s="87"/>
      <c r="AU538" s="87"/>
      <c r="AV538" s="87"/>
      <c r="AW538" s="87"/>
      <c r="AY538" s="20"/>
      <c r="AZ538" s="20"/>
      <c r="BA538" s="20"/>
      <c r="BB538" s="20"/>
      <c r="BC538" s="87"/>
      <c r="BD538" s="182"/>
      <c r="BE538" s="87"/>
      <c r="BF538" s="87"/>
      <c r="BM538" s="20"/>
    </row>
    <row r="539" ht="12.75" customHeight="1">
      <c r="A539" s="20"/>
      <c r="B539" s="239"/>
      <c r="AD539" s="24"/>
      <c r="AE539" s="25"/>
      <c r="AF539" s="26"/>
      <c r="AG539" s="24"/>
      <c r="AH539" s="25"/>
      <c r="AI539" s="27"/>
      <c r="AK539" s="28"/>
      <c r="AL539" s="29"/>
      <c r="AP539" s="20"/>
      <c r="AQ539" s="20"/>
      <c r="AR539" s="20"/>
      <c r="AS539" s="20"/>
      <c r="AT539" s="87"/>
      <c r="AU539" s="87"/>
      <c r="AV539" s="87"/>
      <c r="AW539" s="87"/>
      <c r="AY539" s="20"/>
      <c r="AZ539" s="20"/>
      <c r="BA539" s="20"/>
      <c r="BB539" s="20"/>
      <c r="BC539" s="87"/>
      <c r="BD539" s="182"/>
      <c r="BE539" s="87"/>
      <c r="BF539" s="87"/>
      <c r="BM539" s="20"/>
    </row>
    <row r="540" ht="12.75" customHeight="1">
      <c r="A540" s="20"/>
      <c r="B540" s="239"/>
      <c r="AD540" s="24"/>
      <c r="AE540" s="25"/>
      <c r="AF540" s="26"/>
      <c r="AG540" s="24"/>
      <c r="AH540" s="25"/>
      <c r="AI540" s="27"/>
      <c r="AK540" s="28"/>
      <c r="AL540" s="29"/>
      <c r="AP540" s="20"/>
      <c r="AQ540" s="20"/>
      <c r="AR540" s="20"/>
      <c r="AS540" s="20"/>
      <c r="AT540" s="87"/>
      <c r="AU540" s="87"/>
      <c r="AV540" s="87"/>
      <c r="AW540" s="87"/>
      <c r="AY540" s="20"/>
      <c r="AZ540" s="20"/>
      <c r="BA540" s="20"/>
      <c r="BB540" s="20"/>
      <c r="BC540" s="87"/>
      <c r="BD540" s="182"/>
      <c r="BE540" s="87"/>
      <c r="BF540" s="87"/>
      <c r="BM540" s="20"/>
    </row>
    <row r="541" ht="12.75" customHeight="1">
      <c r="A541" s="20"/>
      <c r="B541" s="239"/>
      <c r="AD541" s="24"/>
      <c r="AE541" s="25"/>
      <c r="AF541" s="26"/>
      <c r="AG541" s="24"/>
      <c r="AH541" s="25"/>
      <c r="AI541" s="27"/>
      <c r="AK541" s="28"/>
      <c r="AL541" s="29"/>
      <c r="AP541" s="20"/>
      <c r="AQ541" s="20"/>
      <c r="AR541" s="20"/>
      <c r="AS541" s="20"/>
      <c r="AT541" s="87"/>
      <c r="AU541" s="87"/>
      <c r="AV541" s="87"/>
      <c r="AW541" s="87"/>
      <c r="AY541" s="20"/>
      <c r="AZ541" s="20"/>
      <c r="BA541" s="20"/>
      <c r="BB541" s="20"/>
      <c r="BC541" s="87"/>
      <c r="BD541" s="182"/>
      <c r="BE541" s="87"/>
      <c r="BF541" s="87"/>
      <c r="BM541" s="20"/>
    </row>
    <row r="542" ht="12.75" customHeight="1">
      <c r="A542" s="20"/>
      <c r="B542" s="239"/>
      <c r="AD542" s="24"/>
      <c r="AE542" s="25"/>
      <c r="AF542" s="26"/>
      <c r="AG542" s="24"/>
      <c r="AH542" s="25"/>
      <c r="AI542" s="27"/>
      <c r="AK542" s="28"/>
      <c r="AL542" s="29"/>
      <c r="AP542" s="20"/>
      <c r="AQ542" s="20"/>
      <c r="AR542" s="20"/>
      <c r="AS542" s="20"/>
      <c r="AT542" s="87"/>
      <c r="AU542" s="87"/>
      <c r="AV542" s="87"/>
      <c r="AW542" s="87"/>
      <c r="AY542" s="20"/>
      <c r="AZ542" s="20"/>
      <c r="BA542" s="20"/>
      <c r="BB542" s="20"/>
      <c r="BC542" s="87"/>
      <c r="BD542" s="182"/>
      <c r="BE542" s="87"/>
      <c r="BF542" s="87"/>
      <c r="BM542" s="20"/>
    </row>
    <row r="543" ht="12.75" customHeight="1">
      <c r="A543" s="20"/>
      <c r="B543" s="239"/>
      <c r="AD543" s="24"/>
      <c r="AE543" s="25"/>
      <c r="AF543" s="26"/>
      <c r="AG543" s="24"/>
      <c r="AH543" s="25"/>
      <c r="AI543" s="27"/>
      <c r="AK543" s="28"/>
      <c r="AL543" s="29"/>
      <c r="AP543" s="20"/>
      <c r="AQ543" s="20"/>
      <c r="AR543" s="20"/>
      <c r="AS543" s="20"/>
      <c r="AT543" s="87"/>
      <c r="AU543" s="87"/>
      <c r="AV543" s="87"/>
      <c r="AW543" s="87"/>
      <c r="AY543" s="20"/>
      <c r="AZ543" s="20"/>
      <c r="BA543" s="20"/>
      <c r="BB543" s="20"/>
      <c r="BC543" s="87"/>
      <c r="BD543" s="182"/>
      <c r="BE543" s="87"/>
      <c r="BF543" s="87"/>
      <c r="BM543" s="20"/>
    </row>
    <row r="544" ht="12.75" customHeight="1">
      <c r="A544" s="20"/>
      <c r="B544" s="239"/>
      <c r="AD544" s="24"/>
      <c r="AE544" s="25"/>
      <c r="AF544" s="26"/>
      <c r="AG544" s="24"/>
      <c r="AH544" s="25"/>
      <c r="AI544" s="27"/>
      <c r="AK544" s="28"/>
      <c r="AL544" s="29"/>
      <c r="AP544" s="20"/>
      <c r="AQ544" s="20"/>
      <c r="AR544" s="20"/>
      <c r="AS544" s="20"/>
      <c r="AT544" s="87"/>
      <c r="AU544" s="87"/>
      <c r="AV544" s="87"/>
      <c r="AW544" s="87"/>
      <c r="AY544" s="20"/>
      <c r="AZ544" s="20"/>
      <c r="BA544" s="20"/>
      <c r="BB544" s="20"/>
      <c r="BC544" s="87"/>
      <c r="BD544" s="182"/>
      <c r="BE544" s="87"/>
      <c r="BF544" s="87"/>
      <c r="BM544" s="20"/>
    </row>
    <row r="545" ht="12.75" customHeight="1">
      <c r="A545" s="20"/>
      <c r="B545" s="239"/>
      <c r="AD545" s="24"/>
      <c r="AE545" s="25"/>
      <c r="AF545" s="26"/>
      <c r="AG545" s="24"/>
      <c r="AH545" s="25"/>
      <c r="AI545" s="27"/>
      <c r="AK545" s="28"/>
      <c r="AL545" s="29"/>
      <c r="AP545" s="20"/>
      <c r="AQ545" s="20"/>
      <c r="AR545" s="20"/>
      <c r="AS545" s="20"/>
      <c r="AT545" s="87"/>
      <c r="AU545" s="87"/>
      <c r="AV545" s="87"/>
      <c r="AW545" s="87"/>
      <c r="AY545" s="20"/>
      <c r="AZ545" s="20"/>
      <c r="BA545" s="20"/>
      <c r="BB545" s="20"/>
      <c r="BC545" s="87"/>
      <c r="BD545" s="182"/>
      <c r="BE545" s="87"/>
      <c r="BF545" s="87"/>
      <c r="BM545" s="20"/>
    </row>
    <row r="546" ht="12.75" customHeight="1">
      <c r="A546" s="20"/>
      <c r="B546" s="239"/>
      <c r="AD546" s="24"/>
      <c r="AE546" s="25"/>
      <c r="AF546" s="26"/>
      <c r="AG546" s="24"/>
      <c r="AH546" s="25"/>
      <c r="AI546" s="27"/>
      <c r="AK546" s="28"/>
      <c r="AL546" s="29"/>
      <c r="AP546" s="20"/>
      <c r="AQ546" s="20"/>
      <c r="AR546" s="20"/>
      <c r="AS546" s="20"/>
      <c r="AT546" s="87"/>
      <c r="AU546" s="87"/>
      <c r="AV546" s="87"/>
      <c r="AW546" s="87"/>
      <c r="AY546" s="20"/>
      <c r="AZ546" s="20"/>
      <c r="BA546" s="20"/>
      <c r="BB546" s="20"/>
      <c r="BC546" s="87"/>
      <c r="BD546" s="182"/>
      <c r="BE546" s="87"/>
      <c r="BF546" s="87"/>
      <c r="BM546" s="20"/>
    </row>
    <row r="547" ht="12.75" customHeight="1">
      <c r="A547" s="20"/>
      <c r="B547" s="239"/>
      <c r="AD547" s="24"/>
      <c r="AE547" s="25"/>
      <c r="AF547" s="26"/>
      <c r="AG547" s="24"/>
      <c r="AH547" s="25"/>
      <c r="AI547" s="27"/>
      <c r="AK547" s="28"/>
      <c r="AL547" s="29"/>
      <c r="AP547" s="20"/>
      <c r="AQ547" s="20"/>
      <c r="AR547" s="20"/>
      <c r="AS547" s="20"/>
      <c r="AT547" s="87"/>
      <c r="AU547" s="87"/>
      <c r="AV547" s="87"/>
      <c r="AW547" s="87"/>
      <c r="AY547" s="20"/>
      <c r="AZ547" s="20"/>
      <c r="BA547" s="20"/>
      <c r="BB547" s="20"/>
      <c r="BC547" s="87"/>
      <c r="BD547" s="182"/>
      <c r="BE547" s="87"/>
      <c r="BF547" s="87"/>
      <c r="BM547" s="20"/>
    </row>
    <row r="548" ht="12.75" customHeight="1">
      <c r="A548" s="20"/>
      <c r="B548" s="239"/>
      <c r="AD548" s="24"/>
      <c r="AE548" s="25"/>
      <c r="AF548" s="26"/>
      <c r="AG548" s="24"/>
      <c r="AH548" s="25"/>
      <c r="AI548" s="27"/>
      <c r="AK548" s="28"/>
      <c r="AL548" s="29"/>
      <c r="AP548" s="20"/>
      <c r="AQ548" s="20"/>
      <c r="AR548" s="20"/>
      <c r="AS548" s="20"/>
      <c r="AT548" s="87"/>
      <c r="AU548" s="87"/>
      <c r="AV548" s="87"/>
      <c r="AW548" s="87"/>
      <c r="AY548" s="20"/>
      <c r="AZ548" s="20"/>
      <c r="BA548" s="20"/>
      <c r="BB548" s="20"/>
      <c r="BC548" s="87"/>
      <c r="BD548" s="182"/>
      <c r="BE548" s="87"/>
      <c r="BF548" s="87"/>
      <c r="BM548" s="20"/>
    </row>
    <row r="549" ht="12.75" customHeight="1">
      <c r="A549" s="20"/>
      <c r="B549" s="239"/>
      <c r="AD549" s="24"/>
      <c r="AE549" s="25"/>
      <c r="AF549" s="26"/>
      <c r="AG549" s="24"/>
      <c r="AH549" s="25"/>
      <c r="AI549" s="27"/>
      <c r="AK549" s="28"/>
      <c r="AL549" s="29"/>
      <c r="AP549" s="20"/>
      <c r="AQ549" s="20"/>
      <c r="AR549" s="20"/>
      <c r="AS549" s="20"/>
      <c r="AT549" s="87"/>
      <c r="AU549" s="87"/>
      <c r="AV549" s="87"/>
      <c r="AW549" s="87"/>
      <c r="AY549" s="20"/>
      <c r="AZ549" s="20"/>
      <c r="BA549" s="20"/>
      <c r="BB549" s="20"/>
      <c r="BC549" s="87"/>
      <c r="BD549" s="182"/>
      <c r="BE549" s="87"/>
      <c r="BF549" s="87"/>
      <c r="BM549" s="20"/>
    </row>
    <row r="550" ht="12.75" customHeight="1">
      <c r="A550" s="20"/>
      <c r="B550" s="239"/>
      <c r="AD550" s="24"/>
      <c r="AE550" s="25"/>
      <c r="AF550" s="26"/>
      <c r="AG550" s="24"/>
      <c r="AH550" s="25"/>
      <c r="AI550" s="27"/>
      <c r="AK550" s="28"/>
      <c r="AL550" s="29"/>
      <c r="AP550" s="20"/>
      <c r="AQ550" s="20"/>
      <c r="AR550" s="20"/>
      <c r="AS550" s="20"/>
      <c r="AT550" s="87"/>
      <c r="AU550" s="87"/>
      <c r="AV550" s="87"/>
      <c r="AW550" s="87"/>
      <c r="AY550" s="20"/>
      <c r="AZ550" s="20"/>
      <c r="BA550" s="20"/>
      <c r="BB550" s="20"/>
      <c r="BC550" s="87"/>
      <c r="BD550" s="182"/>
      <c r="BE550" s="87"/>
      <c r="BF550" s="87"/>
      <c r="BM550" s="20"/>
    </row>
    <row r="551" ht="12.75" customHeight="1">
      <c r="A551" s="20"/>
      <c r="B551" s="239"/>
      <c r="AD551" s="24"/>
      <c r="AE551" s="25"/>
      <c r="AF551" s="26"/>
      <c r="AG551" s="24"/>
      <c r="AH551" s="25"/>
      <c r="AI551" s="27"/>
      <c r="AK551" s="28"/>
      <c r="AL551" s="29"/>
      <c r="AP551" s="20"/>
      <c r="AQ551" s="20"/>
      <c r="AR551" s="20"/>
      <c r="AS551" s="20"/>
      <c r="AT551" s="87"/>
      <c r="AU551" s="87"/>
      <c r="AV551" s="87"/>
      <c r="AW551" s="87"/>
      <c r="AY551" s="20"/>
      <c r="AZ551" s="20"/>
      <c r="BA551" s="20"/>
      <c r="BB551" s="20"/>
      <c r="BC551" s="87"/>
      <c r="BD551" s="182"/>
      <c r="BE551" s="87"/>
      <c r="BF551" s="87"/>
      <c r="BM551" s="20"/>
    </row>
    <row r="552" ht="12.75" customHeight="1">
      <c r="A552" s="20"/>
      <c r="B552" s="239"/>
      <c r="AD552" s="24"/>
      <c r="AE552" s="25"/>
      <c r="AF552" s="26"/>
      <c r="AG552" s="24"/>
      <c r="AH552" s="25"/>
      <c r="AI552" s="27"/>
      <c r="AK552" s="28"/>
      <c r="AL552" s="29"/>
      <c r="AP552" s="20"/>
      <c r="AQ552" s="20"/>
      <c r="AR552" s="20"/>
      <c r="AS552" s="20"/>
      <c r="AT552" s="87"/>
      <c r="AU552" s="87"/>
      <c r="AV552" s="87"/>
      <c r="AW552" s="87"/>
      <c r="AY552" s="20"/>
      <c r="AZ552" s="20"/>
      <c r="BA552" s="20"/>
      <c r="BB552" s="20"/>
      <c r="BC552" s="87"/>
      <c r="BD552" s="182"/>
      <c r="BE552" s="87"/>
      <c r="BF552" s="87"/>
      <c r="BM552" s="20"/>
    </row>
    <row r="553" ht="12.75" customHeight="1">
      <c r="A553" s="20"/>
      <c r="B553" s="239"/>
      <c r="AD553" s="24"/>
      <c r="AE553" s="25"/>
      <c r="AF553" s="26"/>
      <c r="AG553" s="24"/>
      <c r="AH553" s="25"/>
      <c r="AI553" s="27"/>
      <c r="AK553" s="28"/>
      <c r="AL553" s="29"/>
      <c r="AP553" s="20"/>
      <c r="AQ553" s="20"/>
      <c r="AR553" s="20"/>
      <c r="AS553" s="20"/>
      <c r="AT553" s="87"/>
      <c r="AU553" s="87"/>
      <c r="AV553" s="87"/>
      <c r="AW553" s="87"/>
      <c r="AY553" s="20"/>
      <c r="AZ553" s="20"/>
      <c r="BA553" s="20"/>
      <c r="BB553" s="20"/>
      <c r="BC553" s="87"/>
      <c r="BD553" s="182"/>
      <c r="BE553" s="87"/>
      <c r="BF553" s="87"/>
      <c r="BM553" s="20"/>
    </row>
    <row r="554" ht="12.75" customHeight="1">
      <c r="A554" s="20"/>
      <c r="B554" s="239"/>
      <c r="AD554" s="24"/>
      <c r="AE554" s="25"/>
      <c r="AF554" s="26"/>
      <c r="AG554" s="24"/>
      <c r="AH554" s="25"/>
      <c r="AI554" s="27"/>
      <c r="AK554" s="28"/>
      <c r="AL554" s="29"/>
      <c r="AP554" s="20"/>
      <c r="AQ554" s="20"/>
      <c r="AR554" s="20"/>
      <c r="AS554" s="20"/>
      <c r="AT554" s="87"/>
      <c r="AU554" s="87"/>
      <c r="AV554" s="87"/>
      <c r="AW554" s="87"/>
      <c r="AY554" s="20"/>
      <c r="AZ554" s="20"/>
      <c r="BA554" s="20"/>
      <c r="BB554" s="20"/>
      <c r="BC554" s="87"/>
      <c r="BD554" s="182"/>
      <c r="BE554" s="87"/>
      <c r="BF554" s="87"/>
      <c r="BM554" s="20"/>
    </row>
    <row r="555" ht="12.75" customHeight="1">
      <c r="A555" s="20"/>
      <c r="B555" s="239"/>
      <c r="AD555" s="24"/>
      <c r="AE555" s="25"/>
      <c r="AF555" s="26"/>
      <c r="AG555" s="24"/>
      <c r="AH555" s="25"/>
      <c r="AI555" s="27"/>
      <c r="AK555" s="28"/>
      <c r="AL555" s="29"/>
      <c r="AP555" s="20"/>
      <c r="AQ555" s="20"/>
      <c r="AR555" s="20"/>
      <c r="AS555" s="20"/>
      <c r="AT555" s="87"/>
      <c r="AU555" s="87"/>
      <c r="AV555" s="87"/>
      <c r="AW555" s="87"/>
      <c r="AY555" s="20"/>
      <c r="AZ555" s="20"/>
      <c r="BA555" s="20"/>
      <c r="BB555" s="20"/>
      <c r="BC555" s="87"/>
      <c r="BD555" s="182"/>
      <c r="BE555" s="87"/>
      <c r="BF555" s="87"/>
      <c r="BM555" s="20"/>
    </row>
    <row r="556" ht="12.75" customHeight="1">
      <c r="A556" s="20"/>
      <c r="B556" s="239"/>
      <c r="AD556" s="24"/>
      <c r="AE556" s="25"/>
      <c r="AF556" s="26"/>
      <c r="AG556" s="24"/>
      <c r="AH556" s="25"/>
      <c r="AI556" s="27"/>
      <c r="AK556" s="28"/>
      <c r="AL556" s="29"/>
      <c r="AP556" s="20"/>
      <c r="AQ556" s="20"/>
      <c r="AR556" s="20"/>
      <c r="AS556" s="20"/>
      <c r="AT556" s="87"/>
      <c r="AU556" s="87"/>
      <c r="AV556" s="87"/>
      <c r="AW556" s="87"/>
      <c r="AY556" s="20"/>
      <c r="AZ556" s="20"/>
      <c r="BA556" s="20"/>
      <c r="BB556" s="20"/>
      <c r="BC556" s="87"/>
      <c r="BD556" s="182"/>
      <c r="BE556" s="87"/>
      <c r="BF556" s="87"/>
      <c r="BM556" s="20"/>
    </row>
    <row r="557" ht="12.75" customHeight="1">
      <c r="A557" s="20"/>
      <c r="B557" s="239"/>
      <c r="AD557" s="24"/>
      <c r="AE557" s="25"/>
      <c r="AF557" s="26"/>
      <c r="AG557" s="24"/>
      <c r="AH557" s="25"/>
      <c r="AI557" s="27"/>
      <c r="AK557" s="28"/>
      <c r="AL557" s="29"/>
      <c r="AP557" s="20"/>
      <c r="AQ557" s="20"/>
      <c r="AR557" s="20"/>
      <c r="AS557" s="20"/>
      <c r="AT557" s="87"/>
      <c r="AU557" s="87"/>
      <c r="AV557" s="87"/>
      <c r="AW557" s="87"/>
      <c r="AY557" s="20"/>
      <c r="AZ557" s="20"/>
      <c r="BA557" s="20"/>
      <c r="BB557" s="20"/>
      <c r="BC557" s="87"/>
      <c r="BD557" s="182"/>
      <c r="BE557" s="87"/>
      <c r="BF557" s="87"/>
      <c r="BM557" s="20"/>
    </row>
    <row r="558" ht="12.75" customHeight="1">
      <c r="A558" s="20"/>
      <c r="B558" s="239"/>
      <c r="AD558" s="24"/>
      <c r="AE558" s="25"/>
      <c r="AF558" s="26"/>
      <c r="AG558" s="24"/>
      <c r="AH558" s="25"/>
      <c r="AI558" s="27"/>
      <c r="AK558" s="28"/>
      <c r="AL558" s="29"/>
      <c r="AP558" s="20"/>
      <c r="AQ558" s="20"/>
      <c r="AR558" s="20"/>
      <c r="AS558" s="20"/>
      <c r="AT558" s="87"/>
      <c r="AU558" s="87"/>
      <c r="AV558" s="87"/>
      <c r="AW558" s="87"/>
      <c r="AY558" s="20"/>
      <c r="AZ558" s="20"/>
      <c r="BA558" s="20"/>
      <c r="BB558" s="20"/>
      <c r="BC558" s="87"/>
      <c r="BD558" s="182"/>
      <c r="BE558" s="87"/>
      <c r="BF558" s="87"/>
      <c r="BM558" s="20"/>
    </row>
    <row r="559" ht="12.75" customHeight="1">
      <c r="A559" s="20"/>
      <c r="B559" s="239"/>
      <c r="AD559" s="24"/>
      <c r="AE559" s="25"/>
      <c r="AF559" s="26"/>
      <c r="AG559" s="24"/>
      <c r="AH559" s="25"/>
      <c r="AI559" s="27"/>
      <c r="AK559" s="28"/>
      <c r="AL559" s="29"/>
      <c r="AP559" s="20"/>
      <c r="AQ559" s="20"/>
      <c r="AR559" s="20"/>
      <c r="AS559" s="20"/>
      <c r="AT559" s="87"/>
      <c r="AU559" s="87"/>
      <c r="AV559" s="87"/>
      <c r="AW559" s="87"/>
      <c r="AY559" s="20"/>
      <c r="AZ559" s="20"/>
      <c r="BA559" s="20"/>
      <c r="BB559" s="20"/>
      <c r="BC559" s="87"/>
      <c r="BD559" s="182"/>
      <c r="BE559" s="87"/>
      <c r="BF559" s="87"/>
      <c r="BM559" s="20"/>
    </row>
    <row r="560" ht="12.75" customHeight="1">
      <c r="A560" s="20"/>
      <c r="B560" s="239"/>
      <c r="AD560" s="24"/>
      <c r="AE560" s="25"/>
      <c r="AF560" s="26"/>
      <c r="AG560" s="24"/>
      <c r="AH560" s="25"/>
      <c r="AI560" s="27"/>
      <c r="AK560" s="28"/>
      <c r="AL560" s="29"/>
      <c r="AP560" s="20"/>
      <c r="AQ560" s="20"/>
      <c r="AR560" s="20"/>
      <c r="AS560" s="20"/>
      <c r="AT560" s="87"/>
      <c r="AU560" s="87"/>
      <c r="AV560" s="87"/>
      <c r="AW560" s="87"/>
      <c r="AY560" s="20"/>
      <c r="AZ560" s="20"/>
      <c r="BA560" s="20"/>
      <c r="BB560" s="20"/>
      <c r="BC560" s="87"/>
      <c r="BD560" s="182"/>
      <c r="BE560" s="87"/>
      <c r="BF560" s="87"/>
      <c r="BM560" s="20"/>
    </row>
    <row r="561" ht="12.75" customHeight="1">
      <c r="A561" s="20"/>
      <c r="B561" s="239"/>
      <c r="AD561" s="24"/>
      <c r="AE561" s="25"/>
      <c r="AF561" s="26"/>
      <c r="AG561" s="24"/>
      <c r="AH561" s="25"/>
      <c r="AI561" s="27"/>
      <c r="AK561" s="28"/>
      <c r="AL561" s="29"/>
      <c r="AP561" s="20"/>
      <c r="AQ561" s="20"/>
      <c r="AR561" s="20"/>
      <c r="AS561" s="20"/>
      <c r="AT561" s="87"/>
      <c r="AU561" s="87"/>
      <c r="AV561" s="87"/>
      <c r="AW561" s="87"/>
      <c r="AY561" s="20"/>
      <c r="AZ561" s="20"/>
      <c r="BA561" s="20"/>
      <c r="BB561" s="20"/>
      <c r="BC561" s="87"/>
      <c r="BD561" s="182"/>
      <c r="BE561" s="87"/>
      <c r="BF561" s="87"/>
      <c r="BM561" s="20"/>
    </row>
    <row r="562" ht="12.75" customHeight="1">
      <c r="A562" s="20"/>
      <c r="B562" s="239"/>
      <c r="AD562" s="24"/>
      <c r="AE562" s="25"/>
      <c r="AF562" s="26"/>
      <c r="AG562" s="24"/>
      <c r="AH562" s="25"/>
      <c r="AI562" s="27"/>
      <c r="AK562" s="28"/>
      <c r="AL562" s="29"/>
      <c r="AP562" s="20"/>
      <c r="AQ562" s="20"/>
      <c r="AR562" s="20"/>
      <c r="AS562" s="20"/>
      <c r="AT562" s="87"/>
      <c r="AU562" s="87"/>
      <c r="AV562" s="87"/>
      <c r="AW562" s="87"/>
      <c r="AY562" s="20"/>
      <c r="AZ562" s="20"/>
      <c r="BA562" s="20"/>
      <c r="BB562" s="20"/>
      <c r="BC562" s="87"/>
      <c r="BD562" s="182"/>
      <c r="BE562" s="87"/>
      <c r="BF562" s="87"/>
      <c r="BM562" s="20"/>
    </row>
    <row r="563" ht="12.75" customHeight="1">
      <c r="A563" s="20"/>
      <c r="B563" s="239"/>
      <c r="AD563" s="24"/>
      <c r="AE563" s="25"/>
      <c r="AF563" s="26"/>
      <c r="AG563" s="24"/>
      <c r="AH563" s="25"/>
      <c r="AI563" s="27"/>
      <c r="AK563" s="28"/>
      <c r="AL563" s="29"/>
      <c r="AP563" s="20"/>
      <c r="AQ563" s="20"/>
      <c r="AR563" s="20"/>
      <c r="AS563" s="20"/>
      <c r="AT563" s="87"/>
      <c r="AU563" s="87"/>
      <c r="AV563" s="87"/>
      <c r="AW563" s="87"/>
      <c r="AY563" s="20"/>
      <c r="AZ563" s="20"/>
      <c r="BA563" s="20"/>
      <c r="BB563" s="20"/>
      <c r="BC563" s="87"/>
      <c r="BD563" s="182"/>
      <c r="BE563" s="87"/>
      <c r="BF563" s="87"/>
      <c r="BM563" s="20"/>
    </row>
    <row r="564" ht="12.75" customHeight="1">
      <c r="A564" s="20"/>
      <c r="B564" s="239"/>
      <c r="AD564" s="24"/>
      <c r="AE564" s="25"/>
      <c r="AF564" s="26"/>
      <c r="AG564" s="24"/>
      <c r="AH564" s="25"/>
      <c r="AI564" s="27"/>
      <c r="AK564" s="28"/>
      <c r="AL564" s="29"/>
      <c r="AP564" s="20"/>
      <c r="AQ564" s="20"/>
      <c r="AR564" s="20"/>
      <c r="AS564" s="20"/>
      <c r="AT564" s="87"/>
      <c r="AU564" s="87"/>
      <c r="AV564" s="87"/>
      <c r="AW564" s="87"/>
      <c r="AY564" s="20"/>
      <c r="AZ564" s="20"/>
      <c r="BA564" s="20"/>
      <c r="BB564" s="20"/>
      <c r="BC564" s="87"/>
      <c r="BD564" s="182"/>
      <c r="BE564" s="87"/>
      <c r="BF564" s="87"/>
      <c r="BM564" s="20"/>
    </row>
    <row r="565" ht="12.75" customHeight="1">
      <c r="A565" s="20"/>
      <c r="B565" s="239"/>
      <c r="AD565" s="24"/>
      <c r="AE565" s="25"/>
      <c r="AF565" s="26"/>
      <c r="AG565" s="24"/>
      <c r="AH565" s="25"/>
      <c r="AI565" s="27"/>
      <c r="AK565" s="28"/>
      <c r="AL565" s="29"/>
      <c r="AP565" s="20"/>
      <c r="AQ565" s="20"/>
      <c r="AR565" s="20"/>
      <c r="AS565" s="20"/>
      <c r="AT565" s="87"/>
      <c r="AU565" s="87"/>
      <c r="AV565" s="87"/>
      <c r="AW565" s="87"/>
      <c r="AY565" s="20"/>
      <c r="AZ565" s="20"/>
      <c r="BA565" s="20"/>
      <c r="BB565" s="20"/>
      <c r="BC565" s="87"/>
      <c r="BD565" s="182"/>
      <c r="BE565" s="87"/>
      <c r="BF565" s="87"/>
      <c r="BM565" s="20"/>
    </row>
    <row r="566" ht="12.75" customHeight="1">
      <c r="A566" s="20"/>
      <c r="B566" s="239"/>
      <c r="AD566" s="24"/>
      <c r="AE566" s="25"/>
      <c r="AF566" s="26"/>
      <c r="AG566" s="24"/>
      <c r="AH566" s="25"/>
      <c r="AI566" s="27"/>
      <c r="AK566" s="28"/>
      <c r="AL566" s="29"/>
      <c r="AP566" s="20"/>
      <c r="AQ566" s="20"/>
      <c r="AR566" s="20"/>
      <c r="AS566" s="20"/>
      <c r="AT566" s="87"/>
      <c r="AU566" s="87"/>
      <c r="AV566" s="87"/>
      <c r="AW566" s="87"/>
      <c r="AY566" s="20"/>
      <c r="AZ566" s="20"/>
      <c r="BA566" s="20"/>
      <c r="BB566" s="20"/>
      <c r="BC566" s="87"/>
      <c r="BD566" s="182"/>
      <c r="BE566" s="87"/>
      <c r="BF566" s="87"/>
      <c r="BM566" s="20"/>
    </row>
    <row r="567" ht="12.75" customHeight="1">
      <c r="A567" s="20"/>
      <c r="B567" s="239"/>
      <c r="AD567" s="24"/>
      <c r="AE567" s="25"/>
      <c r="AF567" s="26"/>
      <c r="AG567" s="24"/>
      <c r="AH567" s="25"/>
      <c r="AI567" s="27"/>
      <c r="AK567" s="28"/>
      <c r="AL567" s="29"/>
      <c r="AP567" s="20"/>
      <c r="AQ567" s="20"/>
      <c r="AR567" s="20"/>
      <c r="AS567" s="20"/>
      <c r="AT567" s="87"/>
      <c r="AU567" s="87"/>
      <c r="AV567" s="87"/>
      <c r="AW567" s="87"/>
      <c r="AY567" s="20"/>
      <c r="AZ567" s="20"/>
      <c r="BA567" s="20"/>
      <c r="BB567" s="20"/>
      <c r="BC567" s="87"/>
      <c r="BD567" s="182"/>
      <c r="BE567" s="87"/>
      <c r="BF567" s="87"/>
      <c r="BM567" s="20"/>
    </row>
    <row r="568" ht="12.75" customHeight="1">
      <c r="A568" s="20"/>
      <c r="B568" s="239"/>
      <c r="AD568" s="24"/>
      <c r="AE568" s="25"/>
      <c r="AF568" s="26"/>
      <c r="AG568" s="24"/>
      <c r="AH568" s="25"/>
      <c r="AI568" s="27"/>
      <c r="AK568" s="28"/>
      <c r="AL568" s="29"/>
      <c r="AP568" s="20"/>
      <c r="AQ568" s="20"/>
      <c r="AR568" s="20"/>
      <c r="AS568" s="20"/>
      <c r="AT568" s="87"/>
      <c r="AU568" s="87"/>
      <c r="AV568" s="87"/>
      <c r="AW568" s="87"/>
      <c r="AY568" s="20"/>
      <c r="AZ568" s="20"/>
      <c r="BA568" s="20"/>
      <c r="BB568" s="20"/>
      <c r="BC568" s="87"/>
      <c r="BD568" s="182"/>
      <c r="BE568" s="87"/>
      <c r="BF568" s="87"/>
      <c r="BM568" s="20"/>
    </row>
    <row r="569" ht="12.75" customHeight="1">
      <c r="A569" s="20"/>
      <c r="B569" s="239"/>
      <c r="AD569" s="24"/>
      <c r="AE569" s="25"/>
      <c r="AF569" s="26"/>
      <c r="AG569" s="24"/>
      <c r="AH569" s="25"/>
      <c r="AI569" s="27"/>
      <c r="AK569" s="28"/>
      <c r="AL569" s="29"/>
      <c r="AP569" s="20"/>
      <c r="AQ569" s="20"/>
      <c r="AR569" s="20"/>
      <c r="AS569" s="20"/>
      <c r="AT569" s="87"/>
      <c r="AU569" s="87"/>
      <c r="AV569" s="87"/>
      <c r="AW569" s="87"/>
      <c r="AY569" s="20"/>
      <c r="AZ569" s="20"/>
      <c r="BA569" s="20"/>
      <c r="BB569" s="20"/>
      <c r="BC569" s="87"/>
      <c r="BD569" s="182"/>
      <c r="BE569" s="87"/>
      <c r="BF569" s="87"/>
      <c r="BM569" s="20"/>
    </row>
    <row r="570" ht="12.75" customHeight="1">
      <c r="A570" s="20"/>
      <c r="B570" s="239"/>
      <c r="AD570" s="24"/>
      <c r="AE570" s="25"/>
      <c r="AF570" s="26"/>
      <c r="AG570" s="24"/>
      <c r="AH570" s="25"/>
      <c r="AI570" s="27"/>
      <c r="AK570" s="28"/>
      <c r="AL570" s="29"/>
      <c r="AP570" s="20"/>
      <c r="AQ570" s="20"/>
      <c r="AR570" s="20"/>
      <c r="AS570" s="20"/>
      <c r="AT570" s="87"/>
      <c r="AU570" s="87"/>
      <c r="AV570" s="87"/>
      <c r="AW570" s="87"/>
      <c r="AY570" s="20"/>
      <c r="AZ570" s="20"/>
      <c r="BA570" s="20"/>
      <c r="BB570" s="20"/>
      <c r="BC570" s="87"/>
      <c r="BD570" s="182"/>
      <c r="BE570" s="87"/>
      <c r="BF570" s="87"/>
      <c r="BM570" s="20"/>
    </row>
    <row r="571" ht="12.75" customHeight="1">
      <c r="A571" s="20"/>
      <c r="B571" s="239"/>
      <c r="AD571" s="24"/>
      <c r="AE571" s="25"/>
      <c r="AF571" s="26"/>
      <c r="AG571" s="24"/>
      <c r="AH571" s="25"/>
      <c r="AI571" s="27"/>
      <c r="AK571" s="28"/>
      <c r="AL571" s="29"/>
      <c r="AP571" s="20"/>
      <c r="AQ571" s="20"/>
      <c r="AR571" s="20"/>
      <c r="AS571" s="20"/>
      <c r="AT571" s="87"/>
      <c r="AU571" s="87"/>
      <c r="AV571" s="87"/>
      <c r="AW571" s="87"/>
      <c r="AY571" s="20"/>
      <c r="AZ571" s="20"/>
      <c r="BA571" s="20"/>
      <c r="BB571" s="20"/>
      <c r="BC571" s="87"/>
      <c r="BD571" s="182"/>
      <c r="BE571" s="87"/>
      <c r="BF571" s="87"/>
      <c r="BM571" s="20"/>
    </row>
    <row r="572" ht="12.75" customHeight="1">
      <c r="A572" s="20"/>
      <c r="B572" s="239"/>
      <c r="AD572" s="24"/>
      <c r="AE572" s="25"/>
      <c r="AF572" s="26"/>
      <c r="AG572" s="24"/>
      <c r="AH572" s="25"/>
      <c r="AI572" s="27"/>
      <c r="AK572" s="28"/>
      <c r="AL572" s="29"/>
      <c r="AP572" s="20"/>
      <c r="AQ572" s="20"/>
      <c r="AR572" s="20"/>
      <c r="AS572" s="20"/>
      <c r="AT572" s="87"/>
      <c r="AU572" s="87"/>
      <c r="AV572" s="87"/>
      <c r="AW572" s="87"/>
      <c r="AY572" s="20"/>
      <c r="AZ572" s="20"/>
      <c r="BA572" s="20"/>
      <c r="BB572" s="20"/>
      <c r="BC572" s="87"/>
      <c r="BD572" s="182"/>
      <c r="BE572" s="87"/>
      <c r="BF572" s="87"/>
      <c r="BM572" s="20"/>
    </row>
    <row r="573" ht="12.75" customHeight="1">
      <c r="A573" s="20"/>
      <c r="B573" s="239"/>
      <c r="AD573" s="24"/>
      <c r="AE573" s="25"/>
      <c r="AF573" s="26"/>
      <c r="AG573" s="24"/>
      <c r="AH573" s="25"/>
      <c r="AI573" s="27"/>
      <c r="AK573" s="28"/>
      <c r="AL573" s="29"/>
      <c r="AP573" s="20"/>
      <c r="AQ573" s="20"/>
      <c r="AR573" s="20"/>
      <c r="AS573" s="20"/>
      <c r="AT573" s="87"/>
      <c r="AU573" s="87"/>
      <c r="AV573" s="87"/>
      <c r="AW573" s="87"/>
      <c r="AY573" s="20"/>
      <c r="AZ573" s="20"/>
      <c r="BA573" s="20"/>
      <c r="BB573" s="20"/>
      <c r="BC573" s="87"/>
      <c r="BD573" s="182"/>
      <c r="BE573" s="87"/>
      <c r="BF573" s="87"/>
      <c r="BM573" s="20"/>
    </row>
    <row r="574" ht="12.75" customHeight="1">
      <c r="A574" s="20"/>
      <c r="B574" s="239"/>
      <c r="AD574" s="24"/>
      <c r="AE574" s="25"/>
      <c r="AF574" s="26"/>
      <c r="AG574" s="24"/>
      <c r="AH574" s="25"/>
      <c r="AI574" s="27"/>
      <c r="AK574" s="28"/>
      <c r="AL574" s="29"/>
      <c r="AP574" s="20"/>
      <c r="AQ574" s="20"/>
      <c r="AR574" s="20"/>
      <c r="AS574" s="20"/>
      <c r="AT574" s="87"/>
      <c r="AU574" s="87"/>
      <c r="AV574" s="87"/>
      <c r="AW574" s="87"/>
      <c r="AY574" s="20"/>
      <c r="AZ574" s="20"/>
      <c r="BA574" s="20"/>
      <c r="BB574" s="20"/>
      <c r="BC574" s="87"/>
      <c r="BD574" s="182"/>
      <c r="BE574" s="87"/>
      <c r="BF574" s="87"/>
      <c r="BM574" s="20"/>
    </row>
    <row r="575" ht="12.75" customHeight="1">
      <c r="A575" s="20"/>
      <c r="B575" s="239"/>
      <c r="AD575" s="24"/>
      <c r="AE575" s="25"/>
      <c r="AF575" s="26"/>
      <c r="AG575" s="24"/>
      <c r="AH575" s="25"/>
      <c r="AI575" s="27"/>
      <c r="AK575" s="28"/>
      <c r="AL575" s="29"/>
      <c r="AP575" s="20"/>
      <c r="AQ575" s="20"/>
      <c r="AR575" s="20"/>
      <c r="AS575" s="20"/>
      <c r="AT575" s="87"/>
      <c r="AU575" s="87"/>
      <c r="AV575" s="87"/>
      <c r="AW575" s="87"/>
      <c r="AY575" s="20"/>
      <c r="AZ575" s="20"/>
      <c r="BA575" s="20"/>
      <c r="BB575" s="20"/>
      <c r="BC575" s="87"/>
      <c r="BD575" s="182"/>
      <c r="BE575" s="87"/>
      <c r="BF575" s="87"/>
      <c r="BM575" s="20"/>
    </row>
    <row r="576" ht="12.75" customHeight="1">
      <c r="A576" s="20"/>
      <c r="B576" s="239"/>
      <c r="AD576" s="24"/>
      <c r="AE576" s="25"/>
      <c r="AF576" s="26"/>
      <c r="AG576" s="24"/>
      <c r="AH576" s="25"/>
      <c r="AI576" s="27"/>
      <c r="AK576" s="28"/>
      <c r="AL576" s="29"/>
      <c r="AP576" s="20"/>
      <c r="AQ576" s="20"/>
      <c r="AR576" s="20"/>
      <c r="AS576" s="20"/>
      <c r="AT576" s="87"/>
      <c r="AU576" s="87"/>
      <c r="AV576" s="87"/>
      <c r="AW576" s="87"/>
      <c r="AY576" s="20"/>
      <c r="AZ576" s="20"/>
      <c r="BA576" s="20"/>
      <c r="BB576" s="20"/>
      <c r="BC576" s="87"/>
      <c r="BD576" s="182"/>
      <c r="BE576" s="87"/>
      <c r="BF576" s="87"/>
      <c r="BM576" s="20"/>
    </row>
    <row r="577" ht="12.75" customHeight="1">
      <c r="A577" s="20"/>
      <c r="B577" s="239"/>
      <c r="AD577" s="24"/>
      <c r="AE577" s="25"/>
      <c r="AF577" s="26"/>
      <c r="AG577" s="24"/>
      <c r="AH577" s="25"/>
      <c r="AI577" s="27"/>
      <c r="AK577" s="28"/>
      <c r="AL577" s="29"/>
      <c r="AP577" s="20"/>
      <c r="AQ577" s="20"/>
      <c r="AR577" s="20"/>
      <c r="AS577" s="20"/>
      <c r="AT577" s="87"/>
      <c r="AU577" s="87"/>
      <c r="AV577" s="87"/>
      <c r="AW577" s="87"/>
      <c r="AY577" s="20"/>
      <c r="AZ577" s="20"/>
      <c r="BA577" s="20"/>
      <c r="BB577" s="20"/>
      <c r="BC577" s="87"/>
      <c r="BD577" s="182"/>
      <c r="BE577" s="87"/>
      <c r="BF577" s="87"/>
      <c r="BM577" s="20"/>
    </row>
    <row r="578" ht="12.75" customHeight="1">
      <c r="A578" s="20"/>
      <c r="B578" s="239"/>
      <c r="AD578" s="24"/>
      <c r="AE578" s="25"/>
      <c r="AF578" s="26"/>
      <c r="AG578" s="24"/>
      <c r="AH578" s="25"/>
      <c r="AI578" s="27"/>
      <c r="AK578" s="28"/>
      <c r="AL578" s="29"/>
      <c r="AP578" s="20"/>
      <c r="AQ578" s="20"/>
      <c r="AR578" s="20"/>
      <c r="AS578" s="20"/>
      <c r="AT578" s="87"/>
      <c r="AU578" s="87"/>
      <c r="AV578" s="87"/>
      <c r="AW578" s="87"/>
      <c r="AY578" s="20"/>
      <c r="AZ578" s="20"/>
      <c r="BA578" s="20"/>
      <c r="BB578" s="20"/>
      <c r="BC578" s="87"/>
      <c r="BD578" s="182"/>
      <c r="BE578" s="87"/>
      <c r="BF578" s="87"/>
      <c r="BM578" s="20"/>
    </row>
    <row r="579" ht="12.75" customHeight="1">
      <c r="A579" s="20"/>
      <c r="B579" s="239"/>
      <c r="AD579" s="24"/>
      <c r="AE579" s="25"/>
      <c r="AF579" s="26"/>
      <c r="AG579" s="24"/>
      <c r="AH579" s="25"/>
      <c r="AI579" s="27"/>
      <c r="AK579" s="28"/>
      <c r="AL579" s="29"/>
      <c r="AP579" s="20"/>
      <c r="AQ579" s="20"/>
      <c r="AR579" s="20"/>
      <c r="AS579" s="20"/>
      <c r="AT579" s="87"/>
      <c r="AU579" s="87"/>
      <c r="AV579" s="87"/>
      <c r="AW579" s="87"/>
      <c r="AY579" s="20"/>
      <c r="AZ579" s="20"/>
      <c r="BA579" s="20"/>
      <c r="BB579" s="20"/>
      <c r="BC579" s="87"/>
      <c r="BD579" s="182"/>
      <c r="BE579" s="87"/>
      <c r="BF579" s="87"/>
      <c r="BM579" s="20"/>
    </row>
    <row r="580" ht="12.75" customHeight="1">
      <c r="A580" s="20"/>
      <c r="B580" s="239"/>
      <c r="AD580" s="24"/>
      <c r="AE580" s="25"/>
      <c r="AF580" s="26"/>
      <c r="AG580" s="24"/>
      <c r="AH580" s="25"/>
      <c r="AI580" s="27"/>
      <c r="AK580" s="28"/>
      <c r="AL580" s="29"/>
      <c r="AP580" s="20"/>
      <c r="AQ580" s="20"/>
      <c r="AR580" s="20"/>
      <c r="AS580" s="20"/>
      <c r="AT580" s="87"/>
      <c r="AU580" s="87"/>
      <c r="AV580" s="87"/>
      <c r="AW580" s="87"/>
      <c r="AY580" s="20"/>
      <c r="AZ580" s="20"/>
      <c r="BA580" s="20"/>
      <c r="BB580" s="20"/>
      <c r="BC580" s="87"/>
      <c r="BD580" s="182"/>
      <c r="BE580" s="87"/>
      <c r="BF580" s="87"/>
      <c r="BM580" s="20"/>
    </row>
    <row r="581" ht="12.75" customHeight="1">
      <c r="A581" s="20"/>
      <c r="B581" s="239"/>
      <c r="AD581" s="24"/>
      <c r="AE581" s="25"/>
      <c r="AF581" s="26"/>
      <c r="AG581" s="24"/>
      <c r="AH581" s="25"/>
      <c r="AI581" s="27"/>
      <c r="AK581" s="28"/>
      <c r="AL581" s="29"/>
      <c r="AP581" s="20"/>
      <c r="AQ581" s="20"/>
      <c r="AR581" s="20"/>
      <c r="AS581" s="20"/>
      <c r="AT581" s="87"/>
      <c r="AU581" s="87"/>
      <c r="AV581" s="87"/>
      <c r="AW581" s="87"/>
      <c r="AY581" s="20"/>
      <c r="AZ581" s="20"/>
      <c r="BA581" s="20"/>
      <c r="BB581" s="20"/>
      <c r="BC581" s="87"/>
      <c r="BD581" s="182"/>
      <c r="BE581" s="87"/>
      <c r="BF581" s="87"/>
      <c r="BM581" s="20"/>
    </row>
    <row r="582" ht="12.75" customHeight="1">
      <c r="A582" s="20"/>
      <c r="B582" s="239"/>
      <c r="AD582" s="24"/>
      <c r="AE582" s="25"/>
      <c r="AF582" s="26"/>
      <c r="AG582" s="24"/>
      <c r="AH582" s="25"/>
      <c r="AI582" s="27"/>
      <c r="AK582" s="28"/>
      <c r="AL582" s="29"/>
      <c r="AP582" s="20"/>
      <c r="AQ582" s="20"/>
      <c r="AR582" s="20"/>
      <c r="AS582" s="20"/>
      <c r="AT582" s="87"/>
      <c r="AU582" s="87"/>
      <c r="AV582" s="87"/>
      <c r="AW582" s="87"/>
      <c r="AY582" s="20"/>
      <c r="AZ582" s="20"/>
      <c r="BA582" s="20"/>
      <c r="BB582" s="20"/>
      <c r="BC582" s="87"/>
      <c r="BD582" s="182"/>
      <c r="BE582" s="87"/>
      <c r="BF582" s="87"/>
      <c r="BM582" s="20"/>
    </row>
    <row r="583" ht="12.75" customHeight="1">
      <c r="A583" s="20"/>
      <c r="B583" s="239"/>
      <c r="AD583" s="24"/>
      <c r="AE583" s="25"/>
      <c r="AF583" s="26"/>
      <c r="AG583" s="24"/>
      <c r="AH583" s="25"/>
      <c r="AI583" s="27"/>
      <c r="AK583" s="28"/>
      <c r="AL583" s="29"/>
      <c r="AP583" s="20"/>
      <c r="AQ583" s="20"/>
      <c r="AR583" s="20"/>
      <c r="AS583" s="20"/>
      <c r="AT583" s="87"/>
      <c r="AU583" s="87"/>
      <c r="AV583" s="87"/>
      <c r="AW583" s="87"/>
      <c r="AY583" s="20"/>
      <c r="AZ583" s="20"/>
      <c r="BA583" s="20"/>
      <c r="BB583" s="20"/>
      <c r="BC583" s="87"/>
      <c r="BD583" s="182"/>
      <c r="BE583" s="87"/>
      <c r="BF583" s="87"/>
      <c r="BM583" s="20"/>
    </row>
    <row r="584" ht="12.75" customHeight="1">
      <c r="A584" s="20"/>
      <c r="B584" s="239"/>
      <c r="AD584" s="24"/>
      <c r="AE584" s="25"/>
      <c r="AF584" s="26"/>
      <c r="AG584" s="24"/>
      <c r="AH584" s="25"/>
      <c r="AI584" s="27"/>
      <c r="AK584" s="28"/>
      <c r="AL584" s="29"/>
      <c r="AP584" s="20"/>
      <c r="AQ584" s="20"/>
      <c r="AR584" s="20"/>
      <c r="AS584" s="20"/>
      <c r="AT584" s="87"/>
      <c r="AU584" s="87"/>
      <c r="AV584" s="87"/>
      <c r="AW584" s="87"/>
      <c r="AY584" s="20"/>
      <c r="AZ584" s="20"/>
      <c r="BA584" s="20"/>
      <c r="BB584" s="20"/>
      <c r="BC584" s="87"/>
      <c r="BD584" s="182"/>
      <c r="BE584" s="87"/>
      <c r="BF584" s="87"/>
      <c r="BM584" s="20"/>
    </row>
    <row r="585" ht="12.75" customHeight="1">
      <c r="A585" s="20"/>
      <c r="B585" s="239"/>
      <c r="AD585" s="24"/>
      <c r="AE585" s="25"/>
      <c r="AF585" s="26"/>
      <c r="AG585" s="24"/>
      <c r="AH585" s="25"/>
      <c r="AI585" s="27"/>
      <c r="AK585" s="28"/>
      <c r="AL585" s="29"/>
      <c r="AP585" s="20"/>
      <c r="AQ585" s="20"/>
      <c r="AR585" s="20"/>
      <c r="AS585" s="20"/>
      <c r="AT585" s="87"/>
      <c r="AU585" s="87"/>
      <c r="AV585" s="87"/>
      <c r="AW585" s="87"/>
      <c r="AY585" s="20"/>
      <c r="AZ585" s="20"/>
      <c r="BA585" s="20"/>
      <c r="BB585" s="20"/>
      <c r="BC585" s="87"/>
      <c r="BD585" s="182"/>
      <c r="BE585" s="87"/>
      <c r="BF585" s="87"/>
      <c r="BM585" s="20"/>
    </row>
    <row r="586" ht="12.75" customHeight="1">
      <c r="A586" s="20"/>
      <c r="B586" s="239"/>
      <c r="AD586" s="24"/>
      <c r="AE586" s="25"/>
      <c r="AF586" s="26"/>
      <c r="AG586" s="24"/>
      <c r="AH586" s="25"/>
      <c r="AI586" s="27"/>
      <c r="AK586" s="28"/>
      <c r="AL586" s="29"/>
      <c r="AP586" s="20"/>
      <c r="AQ586" s="20"/>
      <c r="AR586" s="20"/>
      <c r="AS586" s="20"/>
      <c r="AT586" s="87"/>
      <c r="AU586" s="87"/>
      <c r="AV586" s="87"/>
      <c r="AW586" s="87"/>
      <c r="AY586" s="20"/>
      <c r="AZ586" s="20"/>
      <c r="BA586" s="20"/>
      <c r="BB586" s="20"/>
      <c r="BC586" s="87"/>
      <c r="BD586" s="182"/>
      <c r="BE586" s="87"/>
      <c r="BF586" s="87"/>
      <c r="BM586" s="20"/>
    </row>
    <row r="587" ht="12.75" customHeight="1">
      <c r="A587" s="20"/>
      <c r="B587" s="239"/>
      <c r="AD587" s="24"/>
      <c r="AE587" s="25"/>
      <c r="AF587" s="26"/>
      <c r="AG587" s="24"/>
      <c r="AH587" s="25"/>
      <c r="AI587" s="27"/>
      <c r="AK587" s="28"/>
      <c r="AL587" s="29"/>
      <c r="AP587" s="20"/>
      <c r="AQ587" s="20"/>
      <c r="AR587" s="20"/>
      <c r="AS587" s="20"/>
      <c r="AT587" s="87"/>
      <c r="AU587" s="87"/>
      <c r="AV587" s="87"/>
      <c r="AW587" s="87"/>
      <c r="AY587" s="20"/>
      <c r="AZ587" s="20"/>
      <c r="BA587" s="20"/>
      <c r="BB587" s="20"/>
      <c r="BC587" s="87"/>
      <c r="BD587" s="182"/>
      <c r="BE587" s="87"/>
      <c r="BF587" s="87"/>
      <c r="BM587" s="20"/>
    </row>
    <row r="588" ht="12.75" customHeight="1">
      <c r="A588" s="20"/>
      <c r="B588" s="239"/>
      <c r="AD588" s="24"/>
      <c r="AE588" s="25"/>
      <c r="AF588" s="26"/>
      <c r="AG588" s="24"/>
      <c r="AH588" s="25"/>
      <c r="AI588" s="27"/>
      <c r="AK588" s="28"/>
      <c r="AL588" s="29"/>
      <c r="AP588" s="20"/>
      <c r="AQ588" s="20"/>
      <c r="AR588" s="20"/>
      <c r="AS588" s="20"/>
      <c r="AT588" s="87"/>
      <c r="AU588" s="87"/>
      <c r="AV588" s="87"/>
      <c r="AW588" s="87"/>
      <c r="AY588" s="20"/>
      <c r="AZ588" s="20"/>
      <c r="BA588" s="20"/>
      <c r="BB588" s="20"/>
      <c r="BC588" s="87"/>
      <c r="BD588" s="182"/>
      <c r="BE588" s="87"/>
      <c r="BF588" s="87"/>
      <c r="BM588" s="20"/>
    </row>
    <row r="589" ht="12.75" customHeight="1">
      <c r="A589" s="20"/>
      <c r="B589" s="239"/>
      <c r="AD589" s="24"/>
      <c r="AE589" s="25"/>
      <c r="AF589" s="26"/>
      <c r="AG589" s="24"/>
      <c r="AH589" s="25"/>
      <c r="AI589" s="27"/>
      <c r="AK589" s="28"/>
      <c r="AL589" s="29"/>
      <c r="AP589" s="20"/>
      <c r="AQ589" s="20"/>
      <c r="AR589" s="20"/>
      <c r="AS589" s="20"/>
      <c r="AT589" s="87"/>
      <c r="AU589" s="87"/>
      <c r="AV589" s="87"/>
      <c r="AW589" s="87"/>
      <c r="AY589" s="20"/>
      <c r="AZ589" s="20"/>
      <c r="BA589" s="20"/>
      <c r="BB589" s="20"/>
      <c r="BC589" s="87"/>
      <c r="BD589" s="182"/>
      <c r="BE589" s="87"/>
      <c r="BF589" s="87"/>
      <c r="BM589" s="20"/>
    </row>
    <row r="590" ht="12.75" customHeight="1">
      <c r="A590" s="20"/>
      <c r="B590" s="239"/>
      <c r="AD590" s="24"/>
      <c r="AE590" s="25"/>
      <c r="AF590" s="26"/>
      <c r="AG590" s="24"/>
      <c r="AH590" s="25"/>
      <c r="AI590" s="27"/>
      <c r="AK590" s="28"/>
      <c r="AL590" s="29"/>
      <c r="AP590" s="20"/>
      <c r="AQ590" s="20"/>
      <c r="AR590" s="20"/>
      <c r="AS590" s="20"/>
      <c r="AT590" s="87"/>
      <c r="AU590" s="87"/>
      <c r="AV590" s="87"/>
      <c r="AW590" s="87"/>
      <c r="AY590" s="20"/>
      <c r="AZ590" s="20"/>
      <c r="BA590" s="20"/>
      <c r="BB590" s="20"/>
      <c r="BC590" s="87"/>
      <c r="BD590" s="182"/>
      <c r="BE590" s="87"/>
      <c r="BF590" s="87"/>
      <c r="BM590" s="20"/>
    </row>
    <row r="591" ht="12.75" customHeight="1">
      <c r="A591" s="20"/>
      <c r="B591" s="239"/>
      <c r="AD591" s="24"/>
      <c r="AE591" s="25"/>
      <c r="AF591" s="26"/>
      <c r="AG591" s="24"/>
      <c r="AH591" s="25"/>
      <c r="AI591" s="27"/>
      <c r="AK591" s="28"/>
      <c r="AL591" s="29"/>
      <c r="AP591" s="20"/>
      <c r="AQ591" s="20"/>
      <c r="AR591" s="20"/>
      <c r="AS591" s="20"/>
      <c r="AT591" s="87"/>
      <c r="AU591" s="87"/>
      <c r="AV591" s="87"/>
      <c r="AW591" s="87"/>
      <c r="AY591" s="20"/>
      <c r="AZ591" s="20"/>
      <c r="BA591" s="20"/>
      <c r="BB591" s="20"/>
      <c r="BC591" s="87"/>
      <c r="BD591" s="182"/>
      <c r="BE591" s="87"/>
      <c r="BF591" s="87"/>
      <c r="BM591" s="20"/>
    </row>
    <row r="592" ht="12.75" customHeight="1">
      <c r="A592" s="20"/>
      <c r="B592" s="239"/>
      <c r="AD592" s="24"/>
      <c r="AE592" s="25"/>
      <c r="AF592" s="26"/>
      <c r="AG592" s="24"/>
      <c r="AH592" s="25"/>
      <c r="AI592" s="27"/>
      <c r="AK592" s="28"/>
      <c r="AL592" s="29"/>
      <c r="AP592" s="20"/>
      <c r="AQ592" s="20"/>
      <c r="AR592" s="20"/>
      <c r="AS592" s="20"/>
      <c r="AT592" s="87"/>
      <c r="AU592" s="87"/>
      <c r="AV592" s="87"/>
      <c r="AW592" s="87"/>
      <c r="AY592" s="20"/>
      <c r="AZ592" s="20"/>
      <c r="BA592" s="20"/>
      <c r="BB592" s="20"/>
      <c r="BC592" s="87"/>
      <c r="BD592" s="182"/>
      <c r="BE592" s="87"/>
      <c r="BF592" s="87"/>
      <c r="BM592" s="20"/>
    </row>
    <row r="593" ht="12.75" customHeight="1">
      <c r="A593" s="20"/>
      <c r="B593" s="239"/>
      <c r="AD593" s="24"/>
      <c r="AE593" s="25"/>
      <c r="AF593" s="26"/>
      <c r="AG593" s="24"/>
      <c r="AH593" s="25"/>
      <c r="AI593" s="27"/>
      <c r="AK593" s="28"/>
      <c r="AL593" s="29"/>
      <c r="AP593" s="20"/>
      <c r="AQ593" s="20"/>
      <c r="AR593" s="20"/>
      <c r="AS593" s="20"/>
      <c r="AT593" s="87"/>
      <c r="AU593" s="87"/>
      <c r="AV593" s="87"/>
      <c r="AW593" s="87"/>
      <c r="AY593" s="20"/>
      <c r="AZ593" s="20"/>
      <c r="BA593" s="20"/>
      <c r="BB593" s="20"/>
      <c r="BC593" s="87"/>
      <c r="BD593" s="182"/>
      <c r="BE593" s="87"/>
      <c r="BF593" s="87"/>
      <c r="BM593" s="20"/>
    </row>
    <row r="594" ht="12.75" customHeight="1">
      <c r="A594" s="20"/>
      <c r="B594" s="239"/>
      <c r="AD594" s="24"/>
      <c r="AE594" s="25"/>
      <c r="AF594" s="26"/>
      <c r="AG594" s="24"/>
      <c r="AH594" s="25"/>
      <c r="AI594" s="27"/>
      <c r="AK594" s="28"/>
      <c r="AL594" s="29"/>
      <c r="AP594" s="20"/>
      <c r="AQ594" s="20"/>
      <c r="AR594" s="20"/>
      <c r="AS594" s="20"/>
      <c r="AT594" s="87"/>
      <c r="AU594" s="87"/>
      <c r="AV594" s="87"/>
      <c r="AW594" s="87"/>
      <c r="AY594" s="20"/>
      <c r="AZ594" s="20"/>
      <c r="BA594" s="20"/>
      <c r="BB594" s="20"/>
      <c r="BC594" s="87"/>
      <c r="BD594" s="182"/>
      <c r="BE594" s="87"/>
      <c r="BF594" s="87"/>
      <c r="BM594" s="20"/>
    </row>
    <row r="595" ht="12.75" customHeight="1">
      <c r="A595" s="20"/>
      <c r="B595" s="239"/>
      <c r="AD595" s="24"/>
      <c r="AE595" s="25"/>
      <c r="AF595" s="26"/>
      <c r="AG595" s="24"/>
      <c r="AH595" s="25"/>
      <c r="AI595" s="27"/>
      <c r="AK595" s="28"/>
      <c r="AL595" s="29"/>
      <c r="AP595" s="20"/>
      <c r="AQ595" s="20"/>
      <c r="AR595" s="20"/>
      <c r="AS595" s="20"/>
      <c r="AT595" s="87"/>
      <c r="AU595" s="87"/>
      <c r="AV595" s="87"/>
      <c r="AW595" s="87"/>
      <c r="AY595" s="20"/>
      <c r="AZ595" s="20"/>
      <c r="BA595" s="20"/>
      <c r="BB595" s="20"/>
      <c r="BC595" s="87"/>
      <c r="BD595" s="182"/>
      <c r="BE595" s="87"/>
      <c r="BF595" s="87"/>
      <c r="BM595" s="20"/>
    </row>
    <row r="596" ht="12.75" customHeight="1">
      <c r="A596" s="20"/>
      <c r="B596" s="239"/>
      <c r="AD596" s="24"/>
      <c r="AE596" s="25"/>
      <c r="AF596" s="26"/>
      <c r="AG596" s="24"/>
      <c r="AH596" s="25"/>
      <c r="AI596" s="27"/>
      <c r="AK596" s="28"/>
      <c r="AL596" s="29"/>
      <c r="AP596" s="20"/>
      <c r="AQ596" s="20"/>
      <c r="AR596" s="20"/>
      <c r="AS596" s="20"/>
      <c r="AT596" s="87"/>
      <c r="AU596" s="87"/>
      <c r="AV596" s="87"/>
      <c r="AW596" s="87"/>
      <c r="AY596" s="20"/>
      <c r="AZ596" s="20"/>
      <c r="BA596" s="20"/>
      <c r="BB596" s="20"/>
      <c r="BC596" s="87"/>
      <c r="BD596" s="182"/>
      <c r="BE596" s="87"/>
      <c r="BF596" s="87"/>
      <c r="BM596" s="20"/>
    </row>
    <row r="597" ht="12.75" customHeight="1">
      <c r="A597" s="20"/>
      <c r="B597" s="239"/>
      <c r="AD597" s="24"/>
      <c r="AE597" s="25"/>
      <c r="AF597" s="26"/>
      <c r="AG597" s="24"/>
      <c r="AH597" s="25"/>
      <c r="AI597" s="27"/>
      <c r="AK597" s="28"/>
      <c r="AL597" s="29"/>
      <c r="AP597" s="20"/>
      <c r="AQ597" s="20"/>
      <c r="AR597" s="20"/>
      <c r="AS597" s="20"/>
      <c r="AT597" s="87"/>
      <c r="AU597" s="87"/>
      <c r="AV597" s="87"/>
      <c r="AW597" s="87"/>
      <c r="AY597" s="20"/>
      <c r="AZ597" s="20"/>
      <c r="BA597" s="20"/>
      <c r="BB597" s="20"/>
      <c r="BC597" s="87"/>
      <c r="BD597" s="182"/>
      <c r="BE597" s="87"/>
      <c r="BF597" s="87"/>
      <c r="BM597" s="20"/>
    </row>
    <row r="598" ht="12.75" customHeight="1">
      <c r="A598" s="20"/>
      <c r="B598" s="239"/>
      <c r="AD598" s="24"/>
      <c r="AE598" s="25"/>
      <c r="AF598" s="26"/>
      <c r="AG598" s="24"/>
      <c r="AH598" s="25"/>
      <c r="AI598" s="27"/>
      <c r="AK598" s="28"/>
      <c r="AL598" s="29"/>
      <c r="AP598" s="20"/>
      <c r="AQ598" s="20"/>
      <c r="AR598" s="20"/>
      <c r="AS598" s="20"/>
      <c r="AT598" s="87"/>
      <c r="AU598" s="87"/>
      <c r="AV598" s="87"/>
      <c r="AW598" s="87"/>
      <c r="AY598" s="20"/>
      <c r="AZ598" s="20"/>
      <c r="BA598" s="20"/>
      <c r="BB598" s="20"/>
      <c r="BC598" s="87"/>
      <c r="BD598" s="182"/>
      <c r="BE598" s="87"/>
      <c r="BF598" s="87"/>
      <c r="BM598" s="20"/>
    </row>
    <row r="599" ht="12.75" customHeight="1">
      <c r="A599" s="20"/>
      <c r="B599" s="239"/>
      <c r="AD599" s="24"/>
      <c r="AE599" s="25"/>
      <c r="AF599" s="26"/>
      <c r="AG599" s="24"/>
      <c r="AH599" s="25"/>
      <c r="AI599" s="27"/>
      <c r="AK599" s="28"/>
      <c r="AL599" s="29"/>
      <c r="AP599" s="20"/>
      <c r="AQ599" s="20"/>
      <c r="AR599" s="20"/>
      <c r="AS599" s="20"/>
      <c r="AT599" s="87"/>
      <c r="AU599" s="87"/>
      <c r="AV599" s="87"/>
      <c r="AW599" s="87"/>
      <c r="AY599" s="20"/>
      <c r="AZ599" s="20"/>
      <c r="BA599" s="20"/>
      <c r="BB599" s="20"/>
      <c r="BC599" s="87"/>
      <c r="BD599" s="182"/>
      <c r="BE599" s="87"/>
      <c r="BF599" s="87"/>
      <c r="BM599" s="20"/>
    </row>
    <row r="600" ht="12.75" customHeight="1">
      <c r="A600" s="20"/>
      <c r="B600" s="239"/>
      <c r="AD600" s="24"/>
      <c r="AE600" s="25"/>
      <c r="AF600" s="26"/>
      <c r="AG600" s="24"/>
      <c r="AH600" s="25"/>
      <c r="AI600" s="27"/>
      <c r="AK600" s="28"/>
      <c r="AL600" s="29"/>
      <c r="AP600" s="20"/>
      <c r="AQ600" s="20"/>
      <c r="AR600" s="20"/>
      <c r="AS600" s="20"/>
      <c r="AT600" s="87"/>
      <c r="AU600" s="87"/>
      <c r="AV600" s="87"/>
      <c r="AW600" s="87"/>
      <c r="AY600" s="20"/>
      <c r="AZ600" s="20"/>
      <c r="BA600" s="20"/>
      <c r="BB600" s="20"/>
      <c r="BC600" s="87"/>
      <c r="BD600" s="182"/>
      <c r="BE600" s="87"/>
      <c r="BF600" s="87"/>
      <c r="BM600" s="20"/>
    </row>
    <row r="601" ht="12.75" customHeight="1">
      <c r="A601" s="20"/>
      <c r="B601" s="239"/>
      <c r="AD601" s="24"/>
      <c r="AE601" s="25"/>
      <c r="AF601" s="26"/>
      <c r="AG601" s="24"/>
      <c r="AH601" s="25"/>
      <c r="AI601" s="27"/>
      <c r="AK601" s="28"/>
      <c r="AL601" s="29"/>
      <c r="AP601" s="20"/>
      <c r="AQ601" s="20"/>
      <c r="AR601" s="20"/>
      <c r="AS601" s="20"/>
      <c r="AT601" s="87"/>
      <c r="AU601" s="87"/>
      <c r="AV601" s="87"/>
      <c r="AW601" s="87"/>
      <c r="AY601" s="20"/>
      <c r="AZ601" s="20"/>
      <c r="BA601" s="20"/>
      <c r="BB601" s="20"/>
      <c r="BC601" s="87"/>
      <c r="BD601" s="182"/>
      <c r="BE601" s="87"/>
      <c r="BF601" s="87"/>
      <c r="BM601" s="20"/>
    </row>
    <row r="602" ht="12.75" customHeight="1">
      <c r="A602" s="20"/>
      <c r="B602" s="239"/>
      <c r="AD602" s="24"/>
      <c r="AE602" s="25"/>
      <c r="AF602" s="26"/>
      <c r="AG602" s="24"/>
      <c r="AH602" s="25"/>
      <c r="AI602" s="27"/>
      <c r="AK602" s="28"/>
      <c r="AL602" s="29"/>
      <c r="AP602" s="20"/>
      <c r="AQ602" s="20"/>
      <c r="AR602" s="20"/>
      <c r="AS602" s="20"/>
      <c r="AT602" s="87"/>
      <c r="AU602" s="87"/>
      <c r="AV602" s="87"/>
      <c r="AW602" s="87"/>
      <c r="AY602" s="20"/>
      <c r="AZ602" s="20"/>
      <c r="BA602" s="20"/>
      <c r="BB602" s="20"/>
      <c r="BC602" s="87"/>
      <c r="BD602" s="182"/>
      <c r="BE602" s="87"/>
      <c r="BF602" s="87"/>
      <c r="BM602" s="20"/>
    </row>
    <row r="603" ht="12.75" customHeight="1">
      <c r="A603" s="20"/>
      <c r="B603" s="239"/>
      <c r="AD603" s="24"/>
      <c r="AE603" s="25"/>
      <c r="AF603" s="26"/>
      <c r="AG603" s="24"/>
      <c r="AH603" s="25"/>
      <c r="AI603" s="27"/>
      <c r="AK603" s="28"/>
      <c r="AL603" s="29"/>
      <c r="AP603" s="20"/>
      <c r="AQ603" s="20"/>
      <c r="AR603" s="20"/>
      <c r="AS603" s="20"/>
      <c r="AT603" s="87"/>
      <c r="AU603" s="87"/>
      <c r="AV603" s="87"/>
      <c r="AW603" s="87"/>
      <c r="AY603" s="20"/>
      <c r="AZ603" s="20"/>
      <c r="BA603" s="20"/>
      <c r="BB603" s="20"/>
      <c r="BC603" s="87"/>
      <c r="BD603" s="182"/>
      <c r="BE603" s="87"/>
      <c r="BF603" s="87"/>
      <c r="BM603" s="20"/>
    </row>
  </sheetData>
  <customSheetViews>
    <customSheetView guid="{36A321FA-227B-4682-BEF1-7BAA5DA2AC4D}" filter="1" showAutoFilter="1">
      <autoFilter ref="$A$6:$BT$403">
        <filterColumn colId="32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  <customSheetView guid="{D2AA5EAE-DE08-4A6A-9FD7-4480D44EE8C4}" filter="1" showAutoFilter="1">
      <autoFilter ref="$AD$6:$AL$400">
        <filterColumn colId="3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</customSheetViews>
  <mergeCells count="5">
    <mergeCell ref="V5:AL5"/>
    <mergeCell ref="AP5:AW5"/>
    <mergeCell ref="AY5:BF5"/>
    <mergeCell ref="BH6:BK6"/>
    <mergeCell ref="R394:S394"/>
  </mergeCells>
  <conditionalFormatting sqref="B7:B392">
    <cfRule type="expression" dxfId="0" priority="1">
      <formula>COUNTIF(B7:B500,B7)&gt;1</formula>
    </cfRule>
  </conditionalFormatting>
  <dataValidations>
    <dataValidation type="list" allowBlank="1" showErrorMessage="1" sqref="H7:H391">
      <formula1>"Sold,REO,sold"</formula1>
    </dataValidation>
    <dataValidation type="list" allowBlank="1" showErrorMessage="1" sqref="F7:F371 F373:F391">
      <formula1>"Legal Foreclosure,Deed in Lieu"</formula1>
    </dataValidation>
  </dataValidations>
  <printOptions horizontalCentered="1" verticalCentered="1"/>
  <pageMargins bottom="0.984251968503937" footer="0.0" header="0.0" left="0.196850393700787" right="0.196850393700787" top="0.984251968503937"/>
  <pageSetup orientation="landscape"/>
  <drawing r:id="rId4"/>
  <legacyDrawing r:id="rId5"/>
</worksheet>
</file>